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XGA\SafeSync\Grants\2022 BIP MEDOT US202 Bridge\BCA\"/>
    </mc:Choice>
  </mc:AlternateContent>
  <xr:revisionPtr revIDLastSave="0" documentId="13_ncr:1_{CF94D1F9-A6D7-40B8-A425-DFEC281E3549}" xr6:coauthVersionLast="47" xr6:coauthVersionMax="47" xr10:uidLastSave="{00000000-0000-0000-0000-000000000000}"/>
  <bookViews>
    <workbookView xWindow="0" yWindow="0" windowWidth="19200" windowHeight="10340" tabRatio="930" xr2:uid="{00000000-000D-0000-FFFF-FFFF00000000}"/>
  </bookViews>
  <sheets>
    <sheet name="Benefit Cost Ratio Summary" sheetId="10" r:id="rId1"/>
    <sheet name="Initial Project Cost" sheetId="11" r:id="rId2"/>
    <sheet name="Maintenance Costs" sheetId="12" r:id="rId3"/>
    <sheet name="VMT, VHT, and User Costs" sheetId="4" r:id="rId4"/>
    <sheet name="User Cost, Time &amp; Crash Savings" sheetId="16" r:id="rId5"/>
    <sheet name="Unit Cost Sources" sheetId="5" r:id="rId6"/>
    <sheet name="Crashes" sheetId="8" r:id="rId7"/>
    <sheet name="VMT" sheetId="9" r:id="rId8"/>
    <sheet name="Emissions" sheetId="3" r:id="rId9"/>
    <sheet name="Emission Rates" sheetId="6" r:id="rId10"/>
    <sheet name="Emissions Savings" sheetId="17" r:id="rId11"/>
    <sheet name="No Western Ave Bridge" sheetId="7" r:id="rId12"/>
    <sheet name="Residual Value" sheetId="13" r:id="rId13"/>
    <sheet name="Total Benefits" sheetId="14" r:id="rId14"/>
  </sheets>
  <externalReferences>
    <externalReference r:id="rId15"/>
    <externalReference r:id="rId16"/>
  </externalReferences>
  <definedNames>
    <definedName name="_xlnm.Print_Area" localSheetId="4">'User Cost, Time &amp; Crash Savings'!$A$1:$I$37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1" l="1"/>
  <c r="C5" i="13" s="1"/>
  <c r="G5" i="12"/>
  <c r="E19" i="16"/>
  <c r="E15" i="16"/>
  <c r="C4" i="11"/>
  <c r="C6" i="13"/>
  <c r="C7" i="13"/>
  <c r="C4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C36" i="13" l="1"/>
  <c r="J5" i="17"/>
  <c r="J6" i="17"/>
  <c r="J4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H28" i="16"/>
  <c r="H29" i="16"/>
  <c r="I29" i="16" s="1"/>
  <c r="H30" i="16"/>
  <c r="I30" i="16" s="1"/>
  <c r="H26" i="16"/>
  <c r="I26" i="16" s="1"/>
  <c r="E23" i="16"/>
  <c r="E11" i="16"/>
  <c r="E7" i="16"/>
  <c r="H4" i="16"/>
  <c r="H5" i="16"/>
  <c r="I5" i="16" s="1"/>
  <c r="H6" i="16"/>
  <c r="I6" i="16" s="1"/>
  <c r="H8" i="16"/>
  <c r="I8" i="16" s="1"/>
  <c r="H9" i="16"/>
  <c r="H10" i="16"/>
  <c r="H12" i="16"/>
  <c r="I12" i="16" s="1"/>
  <c r="H13" i="16"/>
  <c r="H14" i="16"/>
  <c r="I14" i="16" s="1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B7" i="12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G6" i="12"/>
  <c r="H6" i="12" s="1"/>
  <c r="H5" i="12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B5" i="1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D1" i="11"/>
  <c r="I4" i="16" l="1"/>
  <c r="I13" i="16"/>
  <c r="D36" i="13"/>
  <c r="C7" i="10" s="1"/>
  <c r="B5" i="14"/>
  <c r="G7" i="12"/>
  <c r="H7" i="12" s="1"/>
  <c r="G14" i="12"/>
  <c r="H14" i="12" s="1"/>
  <c r="I28" i="16"/>
  <c r="I10" i="16"/>
  <c r="I9" i="16"/>
  <c r="G8" i="12"/>
  <c r="D4" i="11"/>
  <c r="D40" i="11" s="1"/>
  <c r="B3" i="10" s="1"/>
  <c r="B8" i="10" s="1"/>
  <c r="H8" i="12" l="1"/>
  <c r="G9" i="12"/>
  <c r="H9" i="12" s="1"/>
  <c r="G22" i="12"/>
  <c r="H22" i="12" s="1"/>
  <c r="E38" i="12" l="1"/>
  <c r="G30" i="12"/>
  <c r="H30" i="12" s="1"/>
  <c r="G10" i="12"/>
  <c r="G11" i="12" l="1"/>
  <c r="H11" i="12" s="1"/>
  <c r="H10" i="12"/>
  <c r="G12" i="12" l="1"/>
  <c r="H12" i="12" l="1"/>
  <c r="G13" i="12"/>
  <c r="H13" i="12" s="1"/>
  <c r="G15" i="12" l="1"/>
  <c r="H15" i="12" s="1"/>
  <c r="G16" i="12" l="1"/>
  <c r="H16" i="12" s="1"/>
  <c r="G17" i="12" l="1"/>
  <c r="H17" i="12" s="1"/>
  <c r="G18" i="12" l="1"/>
  <c r="H18" i="12" s="1"/>
  <c r="G19" i="12" l="1"/>
  <c r="H19" i="12" s="1"/>
  <c r="G20" i="12" l="1"/>
  <c r="H20" i="12" s="1"/>
  <c r="G21" i="12" l="1"/>
  <c r="H21" i="12" s="1"/>
  <c r="G23" i="12" l="1"/>
  <c r="H23" i="12" s="1"/>
  <c r="G24" i="12" l="1"/>
  <c r="H24" i="12" s="1"/>
  <c r="G25" i="12" l="1"/>
  <c r="H25" i="12" s="1"/>
  <c r="G26" i="12" l="1"/>
  <c r="H26" i="12" s="1"/>
  <c r="G27" i="12" l="1"/>
  <c r="H27" i="12" s="1"/>
  <c r="G28" i="12" l="1"/>
  <c r="H28" i="12" s="1"/>
  <c r="G29" i="12" l="1"/>
  <c r="H29" i="12" s="1"/>
  <c r="G31" i="12" l="1"/>
  <c r="H31" i="12" s="1"/>
  <c r="G32" i="12" l="1"/>
  <c r="H32" i="12" s="1"/>
  <c r="G33" i="12" l="1"/>
  <c r="H33" i="12" s="1"/>
  <c r="G34" i="12" l="1"/>
  <c r="H34" i="12" s="1"/>
  <c r="G35" i="12" l="1"/>
  <c r="H35" i="12" s="1"/>
  <c r="G36" i="12" l="1"/>
  <c r="H36" i="12" s="1"/>
  <c r="G37" i="12" l="1"/>
  <c r="H37" i="12" s="1"/>
  <c r="C38" i="12" l="1"/>
  <c r="H38" i="12" l="1"/>
  <c r="C4" i="10" s="1"/>
  <c r="G38" i="12"/>
  <c r="B2" i="14" s="1"/>
  <c r="H5" i="5" l="1"/>
  <c r="L11" i="9"/>
  <c r="M11" i="9" s="1"/>
  <c r="G3" i="5" s="1"/>
  <c r="L4" i="9"/>
  <c r="L5" i="9"/>
  <c r="L6" i="9"/>
  <c r="L7" i="9"/>
  <c r="L8" i="9"/>
  <c r="L9" i="9"/>
  <c r="L3" i="9"/>
  <c r="X4" i="8"/>
  <c r="I5" i="5" s="1"/>
  <c r="X5" i="8"/>
  <c r="J5" i="5" s="1"/>
  <c r="X6" i="8"/>
  <c r="G5" i="5" s="1"/>
  <c r="X7" i="8"/>
  <c r="K5" i="5" s="1"/>
  <c r="X3" i="8"/>
  <c r="U8" i="8"/>
  <c r="T8" i="8"/>
  <c r="S8" i="8"/>
  <c r="X8" i="8" s="1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P4" i="7"/>
  <c r="P3" i="7"/>
  <c r="I4" i="7"/>
  <c r="J4" i="7"/>
  <c r="I5" i="7"/>
  <c r="J5" i="7"/>
  <c r="H37" i="7"/>
  <c r="H30" i="7"/>
  <c r="P5" i="7" s="1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4" i="7"/>
  <c r="I14" i="7"/>
  <c r="J13" i="7"/>
  <c r="I13" i="7"/>
  <c r="J12" i="7"/>
  <c r="I12" i="7"/>
  <c r="J11" i="7"/>
  <c r="I11" i="7"/>
  <c r="J10" i="7"/>
  <c r="I10" i="7"/>
  <c r="J9" i="7"/>
  <c r="I9" i="7"/>
  <c r="J8" i="7"/>
  <c r="I8" i="7"/>
  <c r="J7" i="7"/>
  <c r="I7" i="7"/>
  <c r="J6" i="7"/>
  <c r="I6" i="7"/>
  <c r="I22" i="7" s="1"/>
  <c r="C4" i="4"/>
  <c r="M6" i="4"/>
  <c r="L6" i="4"/>
  <c r="J6" i="4"/>
  <c r="J8" i="4"/>
  <c r="I8" i="4"/>
  <c r="I6" i="4"/>
  <c r="P7" i="7" l="1"/>
  <c r="P6" i="7"/>
  <c r="C9" i="4" s="1"/>
  <c r="C16" i="4"/>
  <c r="C20" i="4"/>
  <c r="C24" i="4"/>
  <c r="C28" i="4"/>
  <c r="C32" i="4"/>
  <c r="C36" i="4"/>
  <c r="C40" i="4"/>
  <c r="C44" i="4"/>
  <c r="C26" i="4"/>
  <c r="C38" i="4"/>
  <c r="C46" i="4"/>
  <c r="C17" i="4"/>
  <c r="C21" i="4"/>
  <c r="C25" i="4"/>
  <c r="C29" i="4"/>
  <c r="C33" i="4"/>
  <c r="C37" i="4"/>
  <c r="C41" i="4"/>
  <c r="C45" i="4"/>
  <c r="C49" i="4"/>
  <c r="C34" i="4"/>
  <c r="C13" i="4"/>
  <c r="C14" i="4"/>
  <c r="C18" i="4"/>
  <c r="C22" i="4"/>
  <c r="C15" i="4"/>
  <c r="C19" i="4"/>
  <c r="C23" i="4"/>
  <c r="C27" i="4"/>
  <c r="C31" i="4"/>
  <c r="C35" i="4"/>
  <c r="C39" i="4"/>
  <c r="C43" i="4"/>
  <c r="C47" i="4"/>
  <c r="C48" i="4"/>
  <c r="C30" i="4"/>
  <c r="C42" i="4"/>
  <c r="J22" i="7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Q6" i="7" l="1"/>
  <c r="Q7" i="7"/>
  <c r="C10" i="4"/>
  <c r="C4" i="3"/>
  <c r="B1" i="3"/>
  <c r="G19" i="5" l="1"/>
  <c r="G15" i="5"/>
  <c r="J10" i="4"/>
  <c r="I10" i="4"/>
  <c r="C12" i="4" l="1"/>
  <c r="B2" i="3"/>
  <c r="C6" i="4"/>
  <c r="G10" i="6"/>
  <c r="G11" i="6"/>
  <c r="G9" i="6"/>
  <c r="G8" i="6"/>
  <c r="G7" i="6"/>
  <c r="G5" i="6"/>
  <c r="G4" i="6"/>
  <c r="G6" i="6"/>
  <c r="E13" i="4" l="1"/>
  <c r="D13" i="4" s="1"/>
  <c r="C11" i="3"/>
  <c r="C1" i="3"/>
  <c r="C3" i="3"/>
  <c r="C7" i="3"/>
  <c r="C5" i="3"/>
  <c r="C8" i="3"/>
  <c r="C9" i="3"/>
  <c r="C10" i="3"/>
  <c r="D4" i="3"/>
  <c r="D9" i="3"/>
  <c r="D10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B12" i="3"/>
  <c r="A12" i="3"/>
  <c r="E14" i="4" l="1"/>
  <c r="D14" i="4" s="1"/>
  <c r="C6" i="3"/>
  <c r="G7" i="5"/>
  <c r="F13" i="4"/>
  <c r="F14" i="4"/>
  <c r="F15" i="4"/>
  <c r="F16" i="4"/>
  <c r="F17" i="4"/>
  <c r="F18" i="4"/>
  <c r="F19" i="4"/>
  <c r="G19" i="4" s="1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12" i="4"/>
  <c r="H12" i="4" s="1"/>
  <c r="J12" i="4" s="1"/>
  <c r="I12" i="4" s="1"/>
  <c r="K12" i="4" s="1"/>
  <c r="E12" i="4"/>
  <c r="D12" i="4" s="1"/>
  <c r="G12" i="4" l="1"/>
  <c r="L12" i="4" s="1"/>
  <c r="E15" i="4"/>
  <c r="D15" i="4" s="1"/>
  <c r="G13" i="4"/>
  <c r="L13" i="4" s="1"/>
  <c r="G8" i="5"/>
  <c r="O7" i="4" s="1"/>
  <c r="O19" i="4" s="1"/>
  <c r="H13" i="4"/>
  <c r="J13" i="4" s="1"/>
  <c r="I13" i="4" s="1"/>
  <c r="K13" i="4" s="1"/>
  <c r="O12" i="4" l="1"/>
  <c r="M12" i="4"/>
  <c r="C12" i="3"/>
  <c r="E12" i="3" s="1"/>
  <c r="D12" i="3" s="1"/>
  <c r="H12" i="3" s="1"/>
  <c r="L12" i="3" s="1"/>
  <c r="E16" i="4"/>
  <c r="D16" i="4" s="1"/>
  <c r="M13" i="4"/>
  <c r="N13" i="4" s="1"/>
  <c r="C13" i="3"/>
  <c r="O13" i="4"/>
  <c r="N12" i="4"/>
  <c r="P12" i="4" s="1"/>
  <c r="G14" i="4"/>
  <c r="H14" i="4"/>
  <c r="J14" i="4" s="1"/>
  <c r="I14" i="4" s="1"/>
  <c r="K14" i="4" s="1"/>
  <c r="G12" i="3" l="1"/>
  <c r="K12" i="3" s="1"/>
  <c r="F12" i="3"/>
  <c r="J12" i="3" s="1"/>
  <c r="I12" i="3"/>
  <c r="M12" i="3" s="1"/>
  <c r="N12" i="3" s="1"/>
  <c r="E17" i="4"/>
  <c r="D17" i="4" s="1"/>
  <c r="P13" i="4"/>
  <c r="G15" i="4"/>
  <c r="H15" i="4"/>
  <c r="J15" i="4" s="1"/>
  <c r="I15" i="4" s="1"/>
  <c r="K15" i="4" s="1"/>
  <c r="E13" i="3"/>
  <c r="D13" i="3" s="1"/>
  <c r="C14" i="3"/>
  <c r="O14" i="4"/>
  <c r="L14" i="4"/>
  <c r="M14" i="4"/>
  <c r="E18" i="4" l="1"/>
  <c r="D18" i="4" s="1"/>
  <c r="N14" i="4"/>
  <c r="P14" i="4" s="1"/>
  <c r="G13" i="3"/>
  <c r="K13" i="3" s="1"/>
  <c r="I13" i="3"/>
  <c r="M13" i="3" s="1"/>
  <c r="H13" i="3"/>
  <c r="L13" i="3" s="1"/>
  <c r="F13" i="3"/>
  <c r="J13" i="3" s="1"/>
  <c r="C15" i="3"/>
  <c r="O15" i="4"/>
  <c r="L15" i="4"/>
  <c r="M15" i="4"/>
  <c r="E14" i="3"/>
  <c r="D14" i="3" s="1"/>
  <c r="G16" i="4"/>
  <c r="H16" i="4"/>
  <c r="J16" i="4" s="1"/>
  <c r="I16" i="4" s="1"/>
  <c r="K16" i="4" s="1"/>
  <c r="E19" i="4" l="1"/>
  <c r="D19" i="4" s="1"/>
  <c r="N13" i="3"/>
  <c r="G17" i="4"/>
  <c r="H17" i="4"/>
  <c r="N15" i="4"/>
  <c r="P15" i="4" s="1"/>
  <c r="C16" i="3"/>
  <c r="O16" i="4"/>
  <c r="M16" i="4"/>
  <c r="L16" i="4"/>
  <c r="F14" i="3"/>
  <c r="J14" i="3" s="1"/>
  <c r="I14" i="3"/>
  <c r="M14" i="3" s="1"/>
  <c r="G14" i="3"/>
  <c r="K14" i="3" s="1"/>
  <c r="H14" i="3"/>
  <c r="L14" i="3" s="1"/>
  <c r="E15" i="3"/>
  <c r="D15" i="3" s="1"/>
  <c r="E20" i="4" l="1"/>
  <c r="D20" i="4" s="1"/>
  <c r="N16" i="4"/>
  <c r="P16" i="4" s="1"/>
  <c r="N14" i="3"/>
  <c r="G15" i="3"/>
  <c r="K15" i="3" s="1"/>
  <c r="I15" i="3"/>
  <c r="M15" i="3" s="1"/>
  <c r="F15" i="3"/>
  <c r="J15" i="3" s="1"/>
  <c r="H15" i="3"/>
  <c r="L15" i="3" s="1"/>
  <c r="E16" i="3"/>
  <c r="D16" i="3" s="1"/>
  <c r="C17" i="3"/>
  <c r="O17" i="4"/>
  <c r="L17" i="4"/>
  <c r="M17" i="4"/>
  <c r="G18" i="4"/>
  <c r="H18" i="4"/>
  <c r="J18" i="4" s="1"/>
  <c r="I18" i="4" s="1"/>
  <c r="K18" i="4" s="1"/>
  <c r="J17" i="4"/>
  <c r="I17" i="4" s="1"/>
  <c r="K17" i="4" s="1"/>
  <c r="E21" i="4" l="1"/>
  <c r="D21" i="4" s="1"/>
  <c r="N15" i="3"/>
  <c r="H19" i="4"/>
  <c r="J19" i="4" s="1"/>
  <c r="I19" i="4" s="1"/>
  <c r="K19" i="4" s="1"/>
  <c r="F16" i="3"/>
  <c r="J16" i="3" s="1"/>
  <c r="H16" i="3"/>
  <c r="L16" i="3" s="1"/>
  <c r="G16" i="3"/>
  <c r="K16" i="3" s="1"/>
  <c r="I16" i="3"/>
  <c r="M16" i="3" s="1"/>
  <c r="C18" i="3"/>
  <c r="O18" i="4"/>
  <c r="L18" i="4"/>
  <c r="M18" i="4"/>
  <c r="E17" i="3"/>
  <c r="D17" i="3" s="1"/>
  <c r="N17" i="4"/>
  <c r="P17" i="4" s="1"/>
  <c r="E22" i="4" l="1"/>
  <c r="D22" i="4" s="1"/>
  <c r="N18" i="4"/>
  <c r="P18" i="4" s="1"/>
  <c r="C19" i="3"/>
  <c r="L19" i="4"/>
  <c r="M19" i="4"/>
  <c r="H20" i="4"/>
  <c r="J20" i="4" s="1"/>
  <c r="I20" i="4" s="1"/>
  <c r="K20" i="4" s="1"/>
  <c r="G20" i="4"/>
  <c r="I17" i="3"/>
  <c r="M17" i="3" s="1"/>
  <c r="H17" i="3"/>
  <c r="L17" i="3" s="1"/>
  <c r="F17" i="3"/>
  <c r="J17" i="3" s="1"/>
  <c r="G17" i="3"/>
  <c r="K17" i="3" s="1"/>
  <c r="E18" i="3"/>
  <c r="D18" i="3" s="1"/>
  <c r="N16" i="3"/>
  <c r="E23" i="4" l="1"/>
  <c r="D23" i="4" s="1"/>
  <c r="F18" i="3"/>
  <c r="J18" i="3" s="1"/>
  <c r="H18" i="3"/>
  <c r="L18" i="3" s="1"/>
  <c r="I18" i="3"/>
  <c r="M18" i="3" s="1"/>
  <c r="G18" i="3"/>
  <c r="K18" i="3" s="1"/>
  <c r="G21" i="4"/>
  <c r="H21" i="4"/>
  <c r="J21" i="4" s="1"/>
  <c r="I21" i="4" s="1"/>
  <c r="K21" i="4" s="1"/>
  <c r="E19" i="3"/>
  <c r="D19" i="3" s="1"/>
  <c r="F19" i="3" s="1"/>
  <c r="C20" i="3"/>
  <c r="O20" i="4"/>
  <c r="L20" i="4"/>
  <c r="M20" i="4"/>
  <c r="N17" i="3"/>
  <c r="N19" i="4"/>
  <c r="P19" i="4" s="1"/>
  <c r="E24" i="4" l="1"/>
  <c r="D24" i="4" s="1"/>
  <c r="N20" i="4"/>
  <c r="P20" i="4" s="1"/>
  <c r="F7" i="16" s="1"/>
  <c r="H7" i="16" s="1"/>
  <c r="C21" i="3"/>
  <c r="E21" i="3" s="1"/>
  <c r="D21" i="3" s="1"/>
  <c r="O21" i="4"/>
  <c r="L21" i="4"/>
  <c r="M21" i="4"/>
  <c r="I19" i="3"/>
  <c r="M19" i="3" s="1"/>
  <c r="G19" i="3"/>
  <c r="K19" i="3" s="1"/>
  <c r="J19" i="3"/>
  <c r="H19" i="3"/>
  <c r="L19" i="3" s="1"/>
  <c r="E20" i="3"/>
  <c r="D20" i="3" s="1"/>
  <c r="G22" i="4"/>
  <c r="H22" i="4"/>
  <c r="J22" i="4" s="1"/>
  <c r="I22" i="4" s="1"/>
  <c r="K22" i="4" s="1"/>
  <c r="N18" i="3"/>
  <c r="I7" i="16" l="1"/>
  <c r="D7" i="17"/>
  <c r="E25" i="4"/>
  <c r="D25" i="4" s="1"/>
  <c r="I21" i="3"/>
  <c r="M21" i="3" s="1"/>
  <c r="F21" i="3"/>
  <c r="J21" i="3" s="1"/>
  <c r="G21" i="3"/>
  <c r="K21" i="3" s="1"/>
  <c r="H21" i="3"/>
  <c r="L21" i="3" s="1"/>
  <c r="G20" i="3"/>
  <c r="K20" i="3" s="1"/>
  <c r="I20" i="3"/>
  <c r="M20" i="3" s="1"/>
  <c r="H7" i="17" s="1"/>
  <c r="H20" i="3"/>
  <c r="L20" i="3" s="1"/>
  <c r="G7" i="17" s="1"/>
  <c r="F20" i="3"/>
  <c r="J20" i="3" s="1"/>
  <c r="E7" i="17" s="1"/>
  <c r="C22" i="3"/>
  <c r="O22" i="4"/>
  <c r="L22" i="4"/>
  <c r="M22" i="4"/>
  <c r="H23" i="4"/>
  <c r="J23" i="4" s="1"/>
  <c r="I23" i="4" s="1"/>
  <c r="K23" i="4" s="1"/>
  <c r="G23" i="4"/>
  <c r="N19" i="3"/>
  <c r="N21" i="4"/>
  <c r="P21" i="4" s="1"/>
  <c r="D8" i="17" s="1"/>
  <c r="G8" i="17" s="1"/>
  <c r="F8" i="17" l="1"/>
  <c r="F7" i="17"/>
  <c r="I7" i="17" s="1"/>
  <c r="E8" i="17"/>
  <c r="H8" i="17"/>
  <c r="N20" i="3"/>
  <c r="E26" i="4"/>
  <c r="D26" i="4" s="1"/>
  <c r="G24" i="4"/>
  <c r="H24" i="4"/>
  <c r="J24" i="4" s="1"/>
  <c r="I24" i="4" s="1"/>
  <c r="K24" i="4" s="1"/>
  <c r="N21" i="3"/>
  <c r="N22" i="4"/>
  <c r="P22" i="4" s="1"/>
  <c r="D9" i="17" s="1"/>
  <c r="C23" i="3"/>
  <c r="O23" i="4"/>
  <c r="L23" i="4"/>
  <c r="M23" i="4"/>
  <c r="E22" i="3"/>
  <c r="D22" i="3" s="1"/>
  <c r="J7" i="17" l="1"/>
  <c r="I8" i="17"/>
  <c r="J8" i="17" s="1"/>
  <c r="E27" i="4"/>
  <c r="D27" i="4" s="1"/>
  <c r="G22" i="3"/>
  <c r="K22" i="3" s="1"/>
  <c r="F9" i="17" s="1"/>
  <c r="H22" i="3"/>
  <c r="L22" i="3" s="1"/>
  <c r="G9" i="17" s="1"/>
  <c r="F22" i="3"/>
  <c r="J22" i="3" s="1"/>
  <c r="E9" i="17" s="1"/>
  <c r="I22" i="3"/>
  <c r="M22" i="3" s="1"/>
  <c r="H9" i="17" s="1"/>
  <c r="C24" i="3"/>
  <c r="O24" i="4"/>
  <c r="L24" i="4"/>
  <c r="M24" i="4"/>
  <c r="N23" i="4"/>
  <c r="P23" i="4" s="1"/>
  <c r="D10" i="17" s="1"/>
  <c r="E23" i="3"/>
  <c r="D23" i="3" s="1"/>
  <c r="G25" i="4"/>
  <c r="H25" i="4"/>
  <c r="I9" i="17" l="1"/>
  <c r="J9" i="17" s="1"/>
  <c r="E28" i="4"/>
  <c r="D28" i="4" s="1"/>
  <c r="N24" i="4"/>
  <c r="P24" i="4" s="1"/>
  <c r="F11" i="16" s="1"/>
  <c r="H11" i="16" s="1"/>
  <c r="N22" i="3"/>
  <c r="C25" i="3"/>
  <c r="E25" i="3" s="1"/>
  <c r="D25" i="3" s="1"/>
  <c r="O25" i="4"/>
  <c r="M25" i="4"/>
  <c r="L25" i="4"/>
  <c r="J25" i="4"/>
  <c r="I25" i="4" s="1"/>
  <c r="K25" i="4" s="1"/>
  <c r="I23" i="3"/>
  <c r="M23" i="3" s="1"/>
  <c r="H10" i="17" s="1"/>
  <c r="F23" i="3"/>
  <c r="J23" i="3" s="1"/>
  <c r="E10" i="17" s="1"/>
  <c r="H23" i="3"/>
  <c r="L23" i="3" s="1"/>
  <c r="G10" i="17" s="1"/>
  <c r="G23" i="3"/>
  <c r="K23" i="3" s="1"/>
  <c r="F10" i="17" s="1"/>
  <c r="G26" i="4"/>
  <c r="H26" i="4"/>
  <c r="J26" i="4" s="1"/>
  <c r="I26" i="4" s="1"/>
  <c r="K26" i="4" s="1"/>
  <c r="E24" i="3"/>
  <c r="D24" i="3" s="1"/>
  <c r="I10" i="17" l="1"/>
  <c r="I11" i="16"/>
  <c r="D11" i="17"/>
  <c r="E29" i="4"/>
  <c r="D29" i="4" s="1"/>
  <c r="N25" i="4"/>
  <c r="P25" i="4" s="1"/>
  <c r="D12" i="17" s="1"/>
  <c r="G12" i="17" s="1"/>
  <c r="I25" i="3"/>
  <c r="M25" i="3" s="1"/>
  <c r="H25" i="3"/>
  <c r="L25" i="3" s="1"/>
  <c r="F25" i="3"/>
  <c r="J25" i="3" s="1"/>
  <c r="G25" i="3"/>
  <c r="K25" i="3" s="1"/>
  <c r="F12" i="17" s="1"/>
  <c r="C26" i="3"/>
  <c r="O26" i="4"/>
  <c r="M26" i="4"/>
  <c r="L26" i="4"/>
  <c r="G24" i="3"/>
  <c r="K24" i="3" s="1"/>
  <c r="F11" i="17" s="1"/>
  <c r="I24" i="3"/>
  <c r="M24" i="3" s="1"/>
  <c r="H11" i="17" s="1"/>
  <c r="H24" i="3"/>
  <c r="L24" i="3" s="1"/>
  <c r="G11" i="17" s="1"/>
  <c r="F24" i="3"/>
  <c r="J24" i="3" s="1"/>
  <c r="E11" i="17" s="1"/>
  <c r="I11" i="17" s="1"/>
  <c r="J11" i="17" s="1"/>
  <c r="N23" i="3"/>
  <c r="G27" i="4"/>
  <c r="H27" i="4"/>
  <c r="J27" i="4" s="1"/>
  <c r="I27" i="4" s="1"/>
  <c r="K27" i="4" s="1"/>
  <c r="H12" i="17" l="1"/>
  <c r="E12" i="17"/>
  <c r="I12" i="17" s="1"/>
  <c r="J12" i="17" s="1"/>
  <c r="J10" i="17"/>
  <c r="E30" i="4"/>
  <c r="D30" i="4" s="1"/>
  <c r="H28" i="4"/>
  <c r="J28" i="4" s="1"/>
  <c r="I28" i="4" s="1"/>
  <c r="K28" i="4" s="1"/>
  <c r="G28" i="4"/>
  <c r="N25" i="3"/>
  <c r="C27" i="3"/>
  <c r="L27" i="4"/>
  <c r="O27" i="4"/>
  <c r="M27" i="4"/>
  <c r="E26" i="3"/>
  <c r="D26" i="3" s="1"/>
  <c r="N24" i="3"/>
  <c r="N26" i="4"/>
  <c r="P26" i="4" s="1"/>
  <c r="D13" i="17" s="1"/>
  <c r="N27" i="4" l="1"/>
  <c r="P27" i="4" s="1"/>
  <c r="D14" i="17" s="1"/>
  <c r="E31" i="4"/>
  <c r="D31" i="4" s="1"/>
  <c r="G26" i="3"/>
  <c r="K26" i="3" s="1"/>
  <c r="F13" i="17" s="1"/>
  <c r="F26" i="3"/>
  <c r="J26" i="3" s="1"/>
  <c r="E13" i="17" s="1"/>
  <c r="H26" i="3"/>
  <c r="L26" i="3" s="1"/>
  <c r="G13" i="17" s="1"/>
  <c r="I26" i="3"/>
  <c r="M26" i="3" s="1"/>
  <c r="H13" i="17" s="1"/>
  <c r="E27" i="3"/>
  <c r="D27" i="3" s="1"/>
  <c r="C28" i="3"/>
  <c r="O28" i="4"/>
  <c r="M28" i="4"/>
  <c r="L28" i="4"/>
  <c r="G29" i="4"/>
  <c r="H29" i="4"/>
  <c r="J29" i="4" s="1"/>
  <c r="I29" i="4" l="1"/>
  <c r="K29" i="4" s="1"/>
  <c r="I13" i="17"/>
  <c r="N28" i="4"/>
  <c r="P28" i="4" s="1"/>
  <c r="F15" i="16" s="1"/>
  <c r="H15" i="16" s="1"/>
  <c r="E32" i="4"/>
  <c r="D32" i="4" s="1"/>
  <c r="E28" i="3"/>
  <c r="D28" i="3" s="1"/>
  <c r="M29" i="4"/>
  <c r="G16" i="16" s="1"/>
  <c r="H16" i="16" s="1"/>
  <c r="C29" i="3"/>
  <c r="O29" i="4"/>
  <c r="L29" i="4"/>
  <c r="N26" i="3"/>
  <c r="G30" i="4"/>
  <c r="H30" i="4"/>
  <c r="J30" i="4" s="1"/>
  <c r="G27" i="3"/>
  <c r="K27" i="3" s="1"/>
  <c r="F14" i="17" s="1"/>
  <c r="I27" i="3"/>
  <c r="M27" i="3" s="1"/>
  <c r="H14" i="17" s="1"/>
  <c r="H27" i="3"/>
  <c r="L27" i="3" s="1"/>
  <c r="G14" i="17" s="1"/>
  <c r="F27" i="3"/>
  <c r="J27" i="3" s="1"/>
  <c r="E14" i="17" s="1"/>
  <c r="I16" i="16" l="1"/>
  <c r="J13" i="17"/>
  <c r="I14" i="17"/>
  <c r="J14" i="17" s="1"/>
  <c r="I30" i="4"/>
  <c r="K30" i="4" s="1"/>
  <c r="I15" i="16"/>
  <c r="D15" i="17"/>
  <c r="E33" i="4"/>
  <c r="D33" i="4" s="1"/>
  <c r="N27" i="3"/>
  <c r="E29" i="3"/>
  <c r="D29" i="3" s="1"/>
  <c r="N29" i="4"/>
  <c r="P29" i="4" s="1"/>
  <c r="D16" i="17" s="1"/>
  <c r="I28" i="3"/>
  <c r="M28" i="3" s="1"/>
  <c r="H15" i="17" s="1"/>
  <c r="F28" i="3"/>
  <c r="J28" i="3" s="1"/>
  <c r="E15" i="17" s="1"/>
  <c r="G28" i="3"/>
  <c r="K28" i="3" s="1"/>
  <c r="F15" i="17" s="1"/>
  <c r="H28" i="3"/>
  <c r="L28" i="3" s="1"/>
  <c r="G15" i="17" s="1"/>
  <c r="G31" i="4"/>
  <c r="H31" i="4"/>
  <c r="J31" i="4" s="1"/>
  <c r="C30" i="3"/>
  <c r="O30" i="4"/>
  <c r="M30" i="4"/>
  <c r="G17" i="16" s="1"/>
  <c r="H17" i="16" s="1"/>
  <c r="L30" i="4"/>
  <c r="I17" i="16" l="1"/>
  <c r="I31" i="4"/>
  <c r="K31" i="4" s="1"/>
  <c r="I15" i="17"/>
  <c r="J15" i="17" s="1"/>
  <c r="E34" i="4"/>
  <c r="D34" i="4" s="1"/>
  <c r="G29" i="3"/>
  <c r="K29" i="3" s="1"/>
  <c r="F16" i="17" s="1"/>
  <c r="I29" i="3"/>
  <c r="M29" i="3" s="1"/>
  <c r="H16" i="17" s="1"/>
  <c r="H29" i="3"/>
  <c r="L29" i="3" s="1"/>
  <c r="G16" i="17" s="1"/>
  <c r="F29" i="3"/>
  <c r="J29" i="3" s="1"/>
  <c r="E16" i="17" s="1"/>
  <c r="C31" i="3"/>
  <c r="E31" i="3" s="1"/>
  <c r="D31" i="3" s="1"/>
  <c r="L31" i="4"/>
  <c r="O31" i="4"/>
  <c r="M31" i="4"/>
  <c r="G18" i="16" s="1"/>
  <c r="H18" i="16" s="1"/>
  <c r="N28" i="3"/>
  <c r="E30" i="3"/>
  <c r="D30" i="3" s="1"/>
  <c r="N30" i="4"/>
  <c r="P30" i="4" s="1"/>
  <c r="D17" i="17" s="1"/>
  <c r="H32" i="4"/>
  <c r="J32" i="4" s="1"/>
  <c r="I32" i="4" s="1"/>
  <c r="K32" i="4" s="1"/>
  <c r="G32" i="4"/>
  <c r="I18" i="16" l="1"/>
  <c r="D18" i="17"/>
  <c r="I16" i="17"/>
  <c r="J16" i="17" s="1"/>
  <c r="E35" i="4"/>
  <c r="D35" i="4" s="1"/>
  <c r="N31" i="4"/>
  <c r="P31" i="4" s="1"/>
  <c r="C32" i="3"/>
  <c r="O32" i="4"/>
  <c r="L32" i="4"/>
  <c r="M32" i="4"/>
  <c r="G33" i="4"/>
  <c r="H33" i="4"/>
  <c r="I31" i="3"/>
  <c r="M31" i="3" s="1"/>
  <c r="F31" i="3"/>
  <c r="J31" i="3" s="1"/>
  <c r="G31" i="3"/>
  <c r="K31" i="3" s="1"/>
  <c r="F18" i="17" s="1"/>
  <c r="H31" i="3"/>
  <c r="L31" i="3" s="1"/>
  <c r="I30" i="3"/>
  <c r="M30" i="3" s="1"/>
  <c r="H17" i="17" s="1"/>
  <c r="F30" i="3"/>
  <c r="J30" i="3" s="1"/>
  <c r="E17" i="17" s="1"/>
  <c r="G30" i="3"/>
  <c r="K30" i="3" s="1"/>
  <c r="F17" i="17" s="1"/>
  <c r="H30" i="3"/>
  <c r="L30" i="3" s="1"/>
  <c r="G17" i="17" s="1"/>
  <c r="N29" i="3"/>
  <c r="G18" i="17" l="1"/>
  <c r="I17" i="17"/>
  <c r="J17" i="17" s="1"/>
  <c r="E18" i="17"/>
  <c r="H18" i="17"/>
  <c r="E36" i="4"/>
  <c r="D36" i="4" s="1"/>
  <c r="N32" i="4"/>
  <c r="P32" i="4" s="1"/>
  <c r="F19" i="16" s="1"/>
  <c r="H19" i="16" s="1"/>
  <c r="N30" i="3"/>
  <c r="C33" i="3"/>
  <c r="O33" i="4"/>
  <c r="M33" i="4"/>
  <c r="L33" i="4"/>
  <c r="J33" i="4"/>
  <c r="N31" i="3"/>
  <c r="H34" i="4"/>
  <c r="J34" i="4" s="1"/>
  <c r="G34" i="4"/>
  <c r="E32" i="3"/>
  <c r="D32" i="3" s="1"/>
  <c r="I18" i="17" l="1"/>
  <c r="J18" i="17" s="1"/>
  <c r="I33" i="4"/>
  <c r="K33" i="4" s="1"/>
  <c r="G20" i="16"/>
  <c r="H20" i="16" s="1"/>
  <c r="I19" i="16"/>
  <c r="D19" i="17"/>
  <c r="I34" i="4"/>
  <c r="K34" i="4" s="1"/>
  <c r="E37" i="4"/>
  <c r="D37" i="4" s="1"/>
  <c r="N33" i="4"/>
  <c r="P33" i="4" s="1"/>
  <c r="G32" i="3"/>
  <c r="K32" i="3" s="1"/>
  <c r="F19" i="17" s="1"/>
  <c r="I32" i="3"/>
  <c r="M32" i="3" s="1"/>
  <c r="H19" i="17" s="1"/>
  <c r="H32" i="3"/>
  <c r="L32" i="3" s="1"/>
  <c r="G19" i="17" s="1"/>
  <c r="F32" i="3"/>
  <c r="J32" i="3" s="1"/>
  <c r="E19" i="17" s="1"/>
  <c r="E33" i="3"/>
  <c r="D33" i="3" s="1"/>
  <c r="G35" i="4"/>
  <c r="H35" i="4"/>
  <c r="J35" i="4" s="1"/>
  <c r="C34" i="3"/>
  <c r="O34" i="4"/>
  <c r="M34" i="4"/>
  <c r="G21" i="16" s="1"/>
  <c r="H21" i="16" s="1"/>
  <c r="L34" i="4"/>
  <c r="I21" i="16" l="1"/>
  <c r="I20" i="16"/>
  <c r="D20" i="17"/>
  <c r="G20" i="17" s="1"/>
  <c r="I35" i="4"/>
  <c r="K35" i="4" s="1"/>
  <c r="I19" i="17"/>
  <c r="J19" i="17" s="1"/>
  <c r="E38" i="4"/>
  <c r="D38" i="4" s="1"/>
  <c r="N34" i="4"/>
  <c r="P34" i="4" s="1"/>
  <c r="D21" i="17" s="1"/>
  <c r="F33" i="3"/>
  <c r="J33" i="3" s="1"/>
  <c r="H33" i="3"/>
  <c r="L33" i="3" s="1"/>
  <c r="I33" i="3"/>
  <c r="M33" i="3" s="1"/>
  <c r="H20" i="17" s="1"/>
  <c r="G33" i="3"/>
  <c r="K33" i="3" s="1"/>
  <c r="C35" i="3"/>
  <c r="L35" i="4"/>
  <c r="O35" i="4"/>
  <c r="M35" i="4"/>
  <c r="G22" i="16" s="1"/>
  <c r="H22" i="16" s="1"/>
  <c r="E34" i="3"/>
  <c r="D34" i="3" s="1"/>
  <c r="N32" i="3"/>
  <c r="H36" i="4"/>
  <c r="J36" i="4" s="1"/>
  <c r="I36" i="4" s="1"/>
  <c r="K36" i="4" s="1"/>
  <c r="G36" i="4"/>
  <c r="I22" i="16" l="1"/>
  <c r="E20" i="17"/>
  <c r="I20" i="17" s="1"/>
  <c r="J20" i="17" s="1"/>
  <c r="F20" i="17"/>
  <c r="E39" i="4"/>
  <c r="D39" i="4" s="1"/>
  <c r="I34" i="3"/>
  <c r="M34" i="3" s="1"/>
  <c r="H21" i="17" s="1"/>
  <c r="F34" i="3"/>
  <c r="J34" i="3" s="1"/>
  <c r="E21" i="17" s="1"/>
  <c r="G34" i="3"/>
  <c r="K34" i="3" s="1"/>
  <c r="F21" i="17" s="1"/>
  <c r="H34" i="3"/>
  <c r="L34" i="3" s="1"/>
  <c r="G21" i="17" s="1"/>
  <c r="N35" i="4"/>
  <c r="P35" i="4" s="1"/>
  <c r="D22" i="17" s="1"/>
  <c r="C36" i="3"/>
  <c r="O36" i="4"/>
  <c r="L36" i="4"/>
  <c r="M36" i="4"/>
  <c r="G37" i="4"/>
  <c r="H37" i="4"/>
  <c r="J37" i="4" s="1"/>
  <c r="E35" i="3"/>
  <c r="D35" i="3" s="1"/>
  <c r="N33" i="3"/>
  <c r="I21" i="17" l="1"/>
  <c r="J21" i="17" s="1"/>
  <c r="I37" i="4"/>
  <c r="K37" i="4" s="1"/>
  <c r="E40" i="4"/>
  <c r="D40" i="4" s="1"/>
  <c r="G35" i="3"/>
  <c r="K35" i="3" s="1"/>
  <c r="F22" i="17" s="1"/>
  <c r="H35" i="3"/>
  <c r="L35" i="3" s="1"/>
  <c r="G22" i="17" s="1"/>
  <c r="I35" i="3"/>
  <c r="M35" i="3" s="1"/>
  <c r="H22" i="17" s="1"/>
  <c r="F35" i="3"/>
  <c r="J35" i="3" s="1"/>
  <c r="E22" i="17" s="1"/>
  <c r="C37" i="3"/>
  <c r="O37" i="4"/>
  <c r="M37" i="4"/>
  <c r="G24" i="16" s="1"/>
  <c r="H24" i="16" s="1"/>
  <c r="L37" i="4"/>
  <c r="E36" i="3"/>
  <c r="D36" i="3" s="1"/>
  <c r="G38" i="4"/>
  <c r="H38" i="4"/>
  <c r="J38" i="4" s="1"/>
  <c r="N34" i="3"/>
  <c r="N36" i="4"/>
  <c r="P36" i="4" s="1"/>
  <c r="F23" i="16" s="1"/>
  <c r="H23" i="16" s="1"/>
  <c r="I24" i="16" l="1"/>
  <c r="I38" i="4"/>
  <c r="K38" i="4" s="1"/>
  <c r="I23" i="16"/>
  <c r="D23" i="17"/>
  <c r="I22" i="17"/>
  <c r="J22" i="17" s="1"/>
  <c r="N37" i="4"/>
  <c r="P37" i="4" s="1"/>
  <c r="D24" i="17" s="1"/>
  <c r="N35" i="3"/>
  <c r="E41" i="4"/>
  <c r="D41" i="4" s="1"/>
  <c r="C38" i="3"/>
  <c r="O38" i="4"/>
  <c r="M38" i="4"/>
  <c r="G25" i="16" s="1"/>
  <c r="H25" i="16" s="1"/>
  <c r="L38" i="4"/>
  <c r="G39" i="4"/>
  <c r="H39" i="4"/>
  <c r="J39" i="4" s="1"/>
  <c r="I39" i="4" s="1"/>
  <c r="K39" i="4" s="1"/>
  <c r="F36" i="3"/>
  <c r="J36" i="3" s="1"/>
  <c r="E23" i="17" s="1"/>
  <c r="G36" i="3"/>
  <c r="K36" i="3" s="1"/>
  <c r="F23" i="17" s="1"/>
  <c r="I36" i="3"/>
  <c r="M36" i="3" s="1"/>
  <c r="H23" i="17" s="1"/>
  <c r="H36" i="3"/>
  <c r="L36" i="3" s="1"/>
  <c r="G23" i="17" s="1"/>
  <c r="E37" i="3"/>
  <c r="D37" i="3" s="1"/>
  <c r="I25" i="16" l="1"/>
  <c r="D25" i="17"/>
  <c r="I23" i="17"/>
  <c r="J23" i="17" s="1"/>
  <c r="N38" i="4"/>
  <c r="P38" i="4" s="1"/>
  <c r="E42" i="4"/>
  <c r="D42" i="4" s="1"/>
  <c r="G37" i="3"/>
  <c r="K37" i="3" s="1"/>
  <c r="F24" i="17" s="1"/>
  <c r="I37" i="3"/>
  <c r="M37" i="3" s="1"/>
  <c r="H24" i="17" s="1"/>
  <c r="F37" i="3"/>
  <c r="J37" i="3" s="1"/>
  <c r="E24" i="17" s="1"/>
  <c r="H37" i="3"/>
  <c r="L37" i="3" s="1"/>
  <c r="G24" i="17" s="1"/>
  <c r="C39" i="3"/>
  <c r="E39" i="3" s="1"/>
  <c r="D39" i="3" s="1"/>
  <c r="L39" i="4"/>
  <c r="O39" i="4"/>
  <c r="M39" i="4"/>
  <c r="G40" i="4"/>
  <c r="H40" i="4"/>
  <c r="J40" i="4" s="1"/>
  <c r="I40" i="4" s="1"/>
  <c r="K40" i="4" s="1"/>
  <c r="N36" i="3"/>
  <c r="E38" i="3"/>
  <c r="D38" i="3" s="1"/>
  <c r="I24" i="17" l="1"/>
  <c r="J24" i="17" s="1"/>
  <c r="E43" i="4"/>
  <c r="D43" i="4" s="1"/>
  <c r="F38" i="3"/>
  <c r="J38" i="3" s="1"/>
  <c r="E25" i="17" s="1"/>
  <c r="H38" i="3"/>
  <c r="L38" i="3" s="1"/>
  <c r="G25" i="17" s="1"/>
  <c r="G38" i="3"/>
  <c r="K38" i="3" s="1"/>
  <c r="F25" i="17" s="1"/>
  <c r="I38" i="3"/>
  <c r="M38" i="3" s="1"/>
  <c r="H25" i="17" s="1"/>
  <c r="N37" i="3"/>
  <c r="N39" i="4"/>
  <c r="P39" i="4" s="1"/>
  <c r="D26" i="17" s="1"/>
  <c r="C40" i="3"/>
  <c r="O40" i="4"/>
  <c r="L40" i="4"/>
  <c r="M40" i="4"/>
  <c r="G41" i="4"/>
  <c r="H41" i="4"/>
  <c r="I39" i="3"/>
  <c r="M39" i="3" s="1"/>
  <c r="H26" i="17" s="1"/>
  <c r="F39" i="3"/>
  <c r="J39" i="3" s="1"/>
  <c r="E26" i="17" s="1"/>
  <c r="G39" i="3"/>
  <c r="K39" i="3" s="1"/>
  <c r="F26" i="17" s="1"/>
  <c r="H39" i="3"/>
  <c r="L39" i="3" s="1"/>
  <c r="I25" i="17" l="1"/>
  <c r="J25" i="17" s="1"/>
  <c r="G26" i="17"/>
  <c r="I26" i="17" s="1"/>
  <c r="J26" i="17" s="1"/>
  <c r="E44" i="4"/>
  <c r="D44" i="4" s="1"/>
  <c r="N40" i="4"/>
  <c r="P40" i="4" s="1"/>
  <c r="F27" i="16" s="1"/>
  <c r="H27" i="16" s="1"/>
  <c r="G42" i="4"/>
  <c r="H42" i="4"/>
  <c r="J42" i="4" s="1"/>
  <c r="I42" i="4" s="1"/>
  <c r="K42" i="4" s="1"/>
  <c r="J41" i="4"/>
  <c r="I41" i="4" s="1"/>
  <c r="K41" i="4" s="1"/>
  <c r="E40" i="3"/>
  <c r="D40" i="3" s="1"/>
  <c r="N39" i="3"/>
  <c r="C41" i="3"/>
  <c r="O41" i="4"/>
  <c r="M41" i="4"/>
  <c r="L41" i="4"/>
  <c r="N38" i="3"/>
  <c r="I27" i="16" l="1"/>
  <c r="D27" i="17"/>
  <c r="E45" i="4"/>
  <c r="D45" i="4" s="1"/>
  <c r="N41" i="4"/>
  <c r="F40" i="3"/>
  <c r="J40" i="3" s="1"/>
  <c r="E27" i="17" s="1"/>
  <c r="H40" i="3"/>
  <c r="L40" i="3" s="1"/>
  <c r="G40" i="3"/>
  <c r="K40" i="3" s="1"/>
  <c r="F27" i="17" s="1"/>
  <c r="I40" i="3"/>
  <c r="M40" i="3" s="1"/>
  <c r="H27" i="17" s="1"/>
  <c r="P41" i="4"/>
  <c r="D28" i="17" s="1"/>
  <c r="E41" i="3"/>
  <c r="D41" i="3" s="1"/>
  <c r="G43" i="4"/>
  <c r="H43" i="4"/>
  <c r="J43" i="4" s="1"/>
  <c r="I43" i="4" s="1"/>
  <c r="K43" i="4" s="1"/>
  <c r="C42" i="3"/>
  <c r="O42" i="4"/>
  <c r="M42" i="4"/>
  <c r="L42" i="4"/>
  <c r="G27" i="17" l="1"/>
  <c r="I27" i="17"/>
  <c r="J27" i="17" s="1"/>
  <c r="E46" i="4"/>
  <c r="D46" i="4" s="1"/>
  <c r="E42" i="3"/>
  <c r="D42" i="3" s="1"/>
  <c r="G41" i="3"/>
  <c r="K41" i="3" s="1"/>
  <c r="F28" i="17" s="1"/>
  <c r="I41" i="3"/>
  <c r="M41" i="3" s="1"/>
  <c r="H28" i="17" s="1"/>
  <c r="H41" i="3"/>
  <c r="L41" i="3" s="1"/>
  <c r="G28" i="17" s="1"/>
  <c r="F41" i="3"/>
  <c r="J41" i="3" s="1"/>
  <c r="E28" i="17" s="1"/>
  <c r="N42" i="4"/>
  <c r="P42" i="4" s="1"/>
  <c r="D29" i="17" s="1"/>
  <c r="G44" i="4"/>
  <c r="H44" i="4"/>
  <c r="J44" i="4" s="1"/>
  <c r="I44" i="4" s="1"/>
  <c r="K44" i="4" s="1"/>
  <c r="C43" i="3"/>
  <c r="L43" i="4"/>
  <c r="O43" i="4"/>
  <c r="M43" i="4"/>
  <c r="N40" i="3"/>
  <c r="I28" i="17" l="1"/>
  <c r="J28" i="17" s="1"/>
  <c r="E47" i="4"/>
  <c r="D47" i="4" s="1"/>
  <c r="N43" i="4"/>
  <c r="P43" i="4" s="1"/>
  <c r="D30" i="17" s="1"/>
  <c r="G42" i="3"/>
  <c r="K42" i="3" s="1"/>
  <c r="F29" i="17" s="1"/>
  <c r="I42" i="3"/>
  <c r="M42" i="3" s="1"/>
  <c r="H29" i="17" s="1"/>
  <c r="H42" i="3"/>
  <c r="L42" i="3" s="1"/>
  <c r="G29" i="17" s="1"/>
  <c r="F42" i="3"/>
  <c r="J42" i="3" s="1"/>
  <c r="E29" i="17" s="1"/>
  <c r="N41" i="3"/>
  <c r="E43" i="3"/>
  <c r="D43" i="3" s="1"/>
  <c r="C44" i="3"/>
  <c r="O44" i="4"/>
  <c r="L44" i="4"/>
  <c r="M44" i="4"/>
  <c r="H45" i="4"/>
  <c r="G45" i="4"/>
  <c r="I29" i="17" l="1"/>
  <c r="J29" i="17" s="1"/>
  <c r="E48" i="4"/>
  <c r="D48" i="4" s="1"/>
  <c r="N42" i="3"/>
  <c r="J45" i="4"/>
  <c r="I45" i="4" s="1"/>
  <c r="K45" i="4" s="1"/>
  <c r="N44" i="4"/>
  <c r="P44" i="4" s="1"/>
  <c r="F31" i="16" s="1"/>
  <c r="H31" i="16" s="1"/>
  <c r="E44" i="3"/>
  <c r="D44" i="3" s="1"/>
  <c r="I43" i="3"/>
  <c r="M43" i="3" s="1"/>
  <c r="H30" i="17" s="1"/>
  <c r="H43" i="3"/>
  <c r="L43" i="3" s="1"/>
  <c r="G30" i="17" s="1"/>
  <c r="F43" i="3"/>
  <c r="J43" i="3" s="1"/>
  <c r="E30" i="17" s="1"/>
  <c r="G43" i="3"/>
  <c r="K43" i="3" s="1"/>
  <c r="F30" i="17" s="1"/>
  <c r="C45" i="3"/>
  <c r="O45" i="4"/>
  <c r="M45" i="4"/>
  <c r="L45" i="4"/>
  <c r="G46" i="4"/>
  <c r="H46" i="4"/>
  <c r="J46" i="4" s="1"/>
  <c r="I46" i="4" s="1"/>
  <c r="K46" i="4" s="1"/>
  <c r="I30" i="17" l="1"/>
  <c r="J30" i="17" s="1"/>
  <c r="I31" i="16"/>
  <c r="D31" i="17"/>
  <c r="E49" i="4"/>
  <c r="D49" i="4" s="1"/>
  <c r="N43" i="3"/>
  <c r="G44" i="3"/>
  <c r="K44" i="3" s="1"/>
  <c r="F31" i="17" s="1"/>
  <c r="I44" i="3"/>
  <c r="M44" i="3" s="1"/>
  <c r="H31" i="17" s="1"/>
  <c r="H44" i="3"/>
  <c r="L44" i="3" s="1"/>
  <c r="F44" i="3"/>
  <c r="J44" i="3" s="1"/>
  <c r="E31" i="17" s="1"/>
  <c r="C46" i="3"/>
  <c r="O46" i="4"/>
  <c r="M46" i="4"/>
  <c r="L46" i="4"/>
  <c r="G47" i="4"/>
  <c r="H47" i="4"/>
  <c r="J47" i="4" s="1"/>
  <c r="I47" i="4" s="1"/>
  <c r="K47" i="4" s="1"/>
  <c r="E45" i="3"/>
  <c r="D45" i="3" s="1"/>
  <c r="N45" i="4"/>
  <c r="P45" i="4" s="1"/>
  <c r="F32" i="16" s="1"/>
  <c r="H32" i="16" s="1"/>
  <c r="G31" i="17" l="1"/>
  <c r="D32" i="17"/>
  <c r="I32" i="16"/>
  <c r="I31" i="17"/>
  <c r="J31" i="17" s="1"/>
  <c r="N44" i="3"/>
  <c r="G45" i="3"/>
  <c r="K45" i="3" s="1"/>
  <c r="F32" i="17" s="1"/>
  <c r="F45" i="3"/>
  <c r="J45" i="3" s="1"/>
  <c r="E32" i="17" s="1"/>
  <c r="H45" i="3"/>
  <c r="L45" i="3" s="1"/>
  <c r="I45" i="3"/>
  <c r="M45" i="3" s="1"/>
  <c r="C47" i="3"/>
  <c r="L47" i="4"/>
  <c r="O47" i="4"/>
  <c r="M47" i="4"/>
  <c r="G48" i="4"/>
  <c r="H48" i="4"/>
  <c r="J48" i="4" s="1"/>
  <c r="I48" i="4" s="1"/>
  <c r="K48" i="4" s="1"/>
  <c r="E46" i="3"/>
  <c r="D46" i="3" s="1"/>
  <c r="N46" i="4"/>
  <c r="P46" i="4" s="1"/>
  <c r="F33" i="16" s="1"/>
  <c r="H33" i="16" s="1"/>
  <c r="G32" i="17" l="1"/>
  <c r="I33" i="16"/>
  <c r="D33" i="17"/>
  <c r="H32" i="17"/>
  <c r="I32" i="17" s="1"/>
  <c r="J32" i="17" s="1"/>
  <c r="N47" i="4"/>
  <c r="P47" i="4" s="1"/>
  <c r="F34" i="16" s="1"/>
  <c r="H34" i="16" s="1"/>
  <c r="G49" i="4"/>
  <c r="H49" i="4"/>
  <c r="E47" i="3"/>
  <c r="D47" i="3" s="1"/>
  <c r="N45" i="3"/>
  <c r="I46" i="3"/>
  <c r="M46" i="3" s="1"/>
  <c r="H33" i="17" s="1"/>
  <c r="H46" i="3"/>
  <c r="L46" i="3" s="1"/>
  <c r="F46" i="3"/>
  <c r="J46" i="3" s="1"/>
  <c r="E33" i="17" s="1"/>
  <c r="G46" i="3"/>
  <c r="K46" i="3" s="1"/>
  <c r="F33" i="17" s="1"/>
  <c r="C48" i="3"/>
  <c r="O48" i="4"/>
  <c r="L48" i="4"/>
  <c r="M48" i="4"/>
  <c r="G33" i="17" l="1"/>
  <c r="I33" i="17" s="1"/>
  <c r="J33" i="17" s="1"/>
  <c r="I34" i="16"/>
  <c r="D34" i="17"/>
  <c r="N48" i="4"/>
  <c r="P48" i="4" s="1"/>
  <c r="F35" i="16" s="1"/>
  <c r="H35" i="16" s="1"/>
  <c r="J49" i="4"/>
  <c r="I49" i="4" s="1"/>
  <c r="K49" i="4" s="1"/>
  <c r="F47" i="3"/>
  <c r="J47" i="3" s="1"/>
  <c r="E34" i="17" s="1"/>
  <c r="I47" i="3"/>
  <c r="M47" i="3" s="1"/>
  <c r="H34" i="17" s="1"/>
  <c r="G47" i="3"/>
  <c r="K47" i="3" s="1"/>
  <c r="F34" i="17" s="1"/>
  <c r="H47" i="3"/>
  <c r="L47" i="3" s="1"/>
  <c r="C49" i="3"/>
  <c r="O49" i="4"/>
  <c r="M49" i="4"/>
  <c r="L49" i="4"/>
  <c r="N46" i="3"/>
  <c r="E48" i="3"/>
  <c r="D48" i="3" s="1"/>
  <c r="G34" i="17" l="1"/>
  <c r="I34" i="17"/>
  <c r="J34" i="17" s="1"/>
  <c r="I35" i="16"/>
  <c r="D35" i="17"/>
  <c r="G35" i="17" s="1"/>
  <c r="N49" i="4"/>
  <c r="P49" i="4" s="1"/>
  <c r="F36" i="16" s="1"/>
  <c r="H36" i="16" s="1"/>
  <c r="G48" i="3"/>
  <c r="K48" i="3" s="1"/>
  <c r="F35" i="17" s="1"/>
  <c r="I48" i="3"/>
  <c r="M48" i="3" s="1"/>
  <c r="H35" i="17" s="1"/>
  <c r="F48" i="3"/>
  <c r="J48" i="3" s="1"/>
  <c r="E35" i="17" s="1"/>
  <c r="H48" i="3"/>
  <c r="L48" i="3" s="1"/>
  <c r="N47" i="3"/>
  <c r="E49" i="3"/>
  <c r="D49" i="3" s="1"/>
  <c r="C50" i="3"/>
  <c r="I35" i="17" l="1"/>
  <c r="J35" i="17" s="1"/>
  <c r="I36" i="16"/>
  <c r="I37" i="16" s="1"/>
  <c r="C5" i="10" s="1"/>
  <c r="D36" i="17"/>
  <c r="H37" i="16"/>
  <c r="B3" i="14" s="1"/>
  <c r="N48" i="3"/>
  <c r="E50" i="3"/>
  <c r="D50" i="3" s="1"/>
  <c r="C51" i="3"/>
  <c r="G49" i="3"/>
  <c r="K49" i="3" s="1"/>
  <c r="F36" i="17" s="1"/>
  <c r="I49" i="3"/>
  <c r="M49" i="3" s="1"/>
  <c r="H36" i="17" s="1"/>
  <c r="H49" i="3"/>
  <c r="L49" i="3" s="1"/>
  <c r="F49" i="3"/>
  <c r="J49" i="3" s="1"/>
  <c r="E36" i="17" s="1"/>
  <c r="G36" i="17" l="1"/>
  <c r="I36" i="17" s="1"/>
  <c r="N49" i="3"/>
  <c r="C52" i="3"/>
  <c r="E52" i="3" s="1"/>
  <c r="D52" i="3" s="1"/>
  <c r="I50" i="3"/>
  <c r="M50" i="3" s="1"/>
  <c r="F50" i="3"/>
  <c r="J50" i="3" s="1"/>
  <c r="G50" i="3"/>
  <c r="K50" i="3" s="1"/>
  <c r="H50" i="3"/>
  <c r="L50" i="3" s="1"/>
  <c r="E51" i="3"/>
  <c r="D51" i="3" s="1"/>
  <c r="J36" i="17" l="1"/>
  <c r="J37" i="17" s="1"/>
  <c r="C6" i="10" s="1"/>
  <c r="C8" i="10" s="1"/>
  <c r="D9" i="10" s="1"/>
  <c r="I37" i="17"/>
  <c r="B4" i="14" s="1"/>
  <c r="B6" i="14" s="1"/>
  <c r="N50" i="3"/>
  <c r="C53" i="3"/>
  <c r="I51" i="3"/>
  <c r="M51" i="3" s="1"/>
  <c r="H51" i="3"/>
  <c r="L51" i="3" s="1"/>
  <c r="F51" i="3"/>
  <c r="J51" i="3" s="1"/>
  <c r="G51" i="3"/>
  <c r="K51" i="3" s="1"/>
  <c r="I52" i="3"/>
  <c r="M52" i="3" s="1"/>
  <c r="H52" i="3"/>
  <c r="L52" i="3" s="1"/>
  <c r="F52" i="3"/>
  <c r="J52" i="3" s="1"/>
  <c r="G52" i="3"/>
  <c r="K52" i="3" s="1"/>
  <c r="N51" i="3" l="1"/>
  <c r="N52" i="3"/>
  <c r="C54" i="3"/>
  <c r="E53" i="3"/>
  <c r="D53" i="3" s="1"/>
  <c r="I53" i="3" l="1"/>
  <c r="M53" i="3" s="1"/>
  <c r="F53" i="3"/>
  <c r="J53" i="3" s="1"/>
  <c r="G53" i="3"/>
  <c r="K53" i="3" s="1"/>
  <c r="H53" i="3"/>
  <c r="L53" i="3" s="1"/>
  <c r="E54" i="3"/>
  <c r="D54" i="3" s="1"/>
  <c r="C55" i="3"/>
  <c r="C56" i="3" l="1"/>
  <c r="N53" i="3"/>
  <c r="E55" i="3"/>
  <c r="D55" i="3" s="1"/>
  <c r="G54" i="3"/>
  <c r="K54" i="3" s="1"/>
  <c r="I54" i="3"/>
  <c r="M54" i="3" s="1"/>
  <c r="H54" i="3"/>
  <c r="L54" i="3" s="1"/>
  <c r="F54" i="3"/>
  <c r="J54" i="3" s="1"/>
  <c r="G55" i="3" l="1"/>
  <c r="K55" i="3" s="1"/>
  <c r="H55" i="3"/>
  <c r="L55" i="3" s="1"/>
  <c r="I55" i="3"/>
  <c r="M55" i="3" s="1"/>
  <c r="F55" i="3"/>
  <c r="J55" i="3" s="1"/>
  <c r="C57" i="3"/>
  <c r="E56" i="3"/>
  <c r="D56" i="3" s="1"/>
  <c r="N54" i="3"/>
  <c r="N55" i="3" l="1"/>
  <c r="C58" i="3"/>
  <c r="H56" i="3"/>
  <c r="L56" i="3" s="1"/>
  <c r="G56" i="3"/>
  <c r="K56" i="3" s="1"/>
  <c r="F56" i="3"/>
  <c r="J56" i="3" s="1"/>
  <c r="I56" i="3"/>
  <c r="M56" i="3" s="1"/>
  <c r="E57" i="3"/>
  <c r="D57" i="3" s="1"/>
  <c r="G57" i="3" l="1"/>
  <c r="K57" i="3" s="1"/>
  <c r="F57" i="3"/>
  <c r="J57" i="3" s="1"/>
  <c r="H57" i="3"/>
  <c r="L57" i="3" s="1"/>
  <c r="I57" i="3"/>
  <c r="M57" i="3" s="1"/>
  <c r="E58" i="3"/>
  <c r="D58" i="3" s="1"/>
  <c r="C59" i="3"/>
  <c r="N56" i="3"/>
  <c r="N57" i="3" l="1"/>
  <c r="C60" i="3"/>
  <c r="E60" i="3" s="1"/>
  <c r="D60" i="3" s="1"/>
  <c r="E59" i="3"/>
  <c r="D59" i="3" s="1"/>
  <c r="F58" i="3"/>
  <c r="J58" i="3" s="1"/>
  <c r="H58" i="3"/>
  <c r="L58" i="3" s="1"/>
  <c r="I58" i="3"/>
  <c r="M58" i="3" s="1"/>
  <c r="G58" i="3"/>
  <c r="K58" i="3" s="1"/>
  <c r="N58" i="3" l="1"/>
  <c r="C61" i="3"/>
  <c r="G59" i="3"/>
  <c r="K59" i="3" s="1"/>
  <c r="I59" i="3"/>
  <c r="M59" i="3" s="1"/>
  <c r="F59" i="3"/>
  <c r="J59" i="3" s="1"/>
  <c r="H59" i="3"/>
  <c r="L59" i="3" s="1"/>
  <c r="H60" i="3"/>
  <c r="L60" i="3" s="1"/>
  <c r="I60" i="3"/>
  <c r="M60" i="3" s="1"/>
  <c r="F60" i="3"/>
  <c r="J60" i="3" s="1"/>
  <c r="G60" i="3"/>
  <c r="K60" i="3" s="1"/>
  <c r="N60" i="3" l="1"/>
  <c r="N59" i="3"/>
  <c r="C62" i="3"/>
  <c r="E61" i="3"/>
  <c r="D61" i="3" s="1"/>
  <c r="I61" i="3" l="1"/>
  <c r="M61" i="3" s="1"/>
  <c r="H61" i="3"/>
  <c r="L61" i="3" s="1"/>
  <c r="F61" i="3"/>
  <c r="J61" i="3" s="1"/>
  <c r="G61" i="3"/>
  <c r="K61" i="3" s="1"/>
  <c r="E62" i="3"/>
  <c r="D62" i="3" s="1"/>
  <c r="H62" i="3" l="1"/>
  <c r="L62" i="3" s="1"/>
  <c r="I62" i="3"/>
  <c r="M62" i="3" s="1"/>
  <c r="F62" i="3"/>
  <c r="J62" i="3" s="1"/>
  <c r="G62" i="3"/>
  <c r="K62" i="3" s="1"/>
  <c r="N61" i="3"/>
  <c r="N62" i="3" l="1"/>
</calcChain>
</file>

<file path=xl/sharedStrings.xml><?xml version="1.0" encoding="utf-8"?>
<sst xmlns="http://schemas.openxmlformats.org/spreadsheetml/2006/main" count="467" uniqueCount="247">
  <si>
    <t>Location:</t>
  </si>
  <si>
    <t>Base Year AADT:</t>
  </si>
  <si>
    <t>30-Year Growth Factor:</t>
  </si>
  <si>
    <t>Base Calendar Year:</t>
  </si>
  <si>
    <t>Year</t>
  </si>
  <si>
    <t>Calendar Year</t>
  </si>
  <si>
    <t>Added VMT per vehicle:</t>
  </si>
  <si>
    <t>Added VHT per vehicle:</t>
  </si>
  <si>
    <t>AADT</t>
  </si>
  <si>
    <t>% of AADT Detoured</t>
  </si>
  <si>
    <t>vehicles per day</t>
  </si>
  <si>
    <t>miles</t>
  </si>
  <si>
    <t>hours</t>
  </si>
  <si>
    <t>Year of Full Closure:</t>
  </si>
  <si>
    <t>Added Annual VMT due to Closure</t>
  </si>
  <si>
    <t>Added Annual VHT due to Closure</t>
  </si>
  <si>
    <t>Light Vehicle AADT</t>
  </si>
  <si>
    <t>Truck AADT</t>
  </si>
  <si>
    <t>% Trucks:</t>
  </si>
  <si>
    <t>Trucks</t>
  </si>
  <si>
    <t>Light Vehicles</t>
  </si>
  <si>
    <t>Average Vehicle Occupancy</t>
  </si>
  <si>
    <t>Value per person-hour</t>
  </si>
  <si>
    <t>Value per vehicle-hour</t>
  </si>
  <si>
    <t>Added Annual Light Vehicle Time Costs due to Closure</t>
  </si>
  <si>
    <t>Added Annual Truck Time Costs due to Closure</t>
  </si>
  <si>
    <t>Total Added Annual Time Costs due to Closure</t>
  </si>
  <si>
    <t>Added Annual Light Vehicle Operating Costs due to Closure</t>
  </si>
  <si>
    <t>Added Annual Truck Operating Costs due to Closure</t>
  </si>
  <si>
    <t>Total Added Annual Operating Costs due to Closure</t>
  </si>
  <si>
    <t>Cost per vehicle-mile</t>
  </si>
  <si>
    <t>vehicle-mile</t>
  </si>
  <si>
    <t>Overall</t>
  </si>
  <si>
    <t>cost per</t>
  </si>
  <si>
    <t>Total Added Crash Costs due to Closure</t>
  </si>
  <si>
    <t>Crash Costs*</t>
  </si>
  <si>
    <t>Total Added User Costs (Time, Operating, Crash) due to Closure</t>
  </si>
  <si>
    <t>Sources:</t>
  </si>
  <si>
    <t>K</t>
  </si>
  <si>
    <t>A</t>
  </si>
  <si>
    <t>B</t>
  </si>
  <si>
    <t>C</t>
  </si>
  <si>
    <t>PDO</t>
  </si>
  <si>
    <t>Cost of Crash by Severity Level ($)</t>
  </si>
  <si>
    <t>Total Crash Costs per Year ($)</t>
  </si>
  <si>
    <t>Crash Costs per VMT ($)</t>
  </si>
  <si>
    <t>Unit Cost per Passenger Vehicle VMT ($)</t>
  </si>
  <si>
    <t>Unit Cost per Truck VMT ($)</t>
  </si>
  <si>
    <t>Unit Cost per Passenger Vehicle PHT ($)</t>
  </si>
  <si>
    <t>Unit Cost per Truck PHT ($)</t>
  </si>
  <si>
    <t>Vehicle Occupancy for Passenger Vehicles</t>
  </si>
  <si>
    <t>Vehicle Occupancy for Trucks</t>
  </si>
  <si>
    <t>Unit Cost per Passenger Vehicle VHT ($)</t>
  </si>
  <si>
    <t>Unit Cost per Truck VHT ($)</t>
  </si>
  <si>
    <t>Crash Cost per VMT</t>
  </si>
  <si>
    <t>Operating Cost</t>
  </si>
  <si>
    <t>Time Cost</t>
  </si>
  <si>
    <t>Crash Severity Level</t>
  </si>
  <si>
    <t>Unit Cost Calculations:</t>
  </si>
  <si>
    <t>Value of Time*</t>
  </si>
  <si>
    <t>Vehicle Operating Costs*</t>
  </si>
  <si>
    <t>*For sources and calculations of unit costs, see "Unit Cost Sources" tab.</t>
  </si>
  <si>
    <t>Added Annual Light Vehicle VMT due to Closure</t>
  </si>
  <si>
    <t>Added Annual Truck VMT due to Closure</t>
  </si>
  <si>
    <t>Nox</t>
  </si>
  <si>
    <t>VOC</t>
  </si>
  <si>
    <t>Particulates</t>
  </si>
  <si>
    <t>Sulfur Dioxide</t>
  </si>
  <si>
    <t>Costs per short ton of emissions</t>
  </si>
  <si>
    <t>Added Annual Short Tons of VOC Emissions due to Closure</t>
  </si>
  <si>
    <t>NOx</t>
  </si>
  <si>
    <t>Added Annual Short Tons of NOx Emissions due to Closure</t>
  </si>
  <si>
    <t>Added Annual Short Tons of Particulates Emissions due to Closure</t>
  </si>
  <si>
    <t>Added Annual Short Tons of Sulfur Dioxide Emissions due to Closure</t>
  </si>
  <si>
    <t>Combined Added Annual Emissions Costs due to Closure</t>
  </si>
  <si>
    <t>Base Year AADTT:</t>
  </si>
  <si>
    <t>trucks per day</t>
  </si>
  <si>
    <t>Rates in grams per vehicle-mile</t>
  </si>
  <si>
    <t>HPMS Class</t>
  </si>
  <si>
    <t>stateID</t>
  </si>
  <si>
    <t>stateABBR</t>
  </si>
  <si>
    <t>pollutantID</t>
  </si>
  <si>
    <t>pollutantName</t>
  </si>
  <si>
    <t>2017
Emissions Rate (grams/veh-mile)</t>
  </si>
  <si>
    <t>2020
Emissions Rate (grams/veh-mile)</t>
  </si>
  <si>
    <t>2017
Emissions Rate (grams/veh-hour)</t>
  </si>
  <si>
    <t>2020
Emissions Rate (grams/veh-hour)</t>
  </si>
  <si>
    <t>HPMS Classes (10, 20, 30)</t>
  </si>
  <si>
    <t>ME</t>
  </si>
  <si>
    <t>Primary PM2.5 - Tirewear Particulate</t>
  </si>
  <si>
    <t>Primary PM2.5 - Brakewear Particulate</t>
  </si>
  <si>
    <t>Primary Exhaust PM2.5 - Total</t>
  </si>
  <si>
    <t>Primary PM10 - Tirewear Particulate</t>
  </si>
  <si>
    <t>Primary PM10 - Brakewear Particulate</t>
  </si>
  <si>
    <t>Primary Exhaust PM10  - Total</t>
  </si>
  <si>
    <t>Volatile Organic Compounds</t>
  </si>
  <si>
    <t>Sulfur Dioxide (SO2)</t>
  </si>
  <si>
    <t>Oxides of Nitrogen (NOx)</t>
  </si>
  <si>
    <t>These represent emissions rates for (motorcycles, passenger car and trucks, and light-duty commercial trucks)  HPMS Classes (10, 20, 30)</t>
  </si>
  <si>
    <t>HPMS Classes (40,50,60)</t>
  </si>
  <si>
    <t>These represent emissions rates for HPMS Classes (40,50,60) Medium and heavy duty trucks and buses.</t>
  </si>
  <si>
    <t>Added Annual VOC Emissions Costs due to Closure</t>
  </si>
  <si>
    <t>Added Annual NOx Emissions Costs due to Closure</t>
  </si>
  <si>
    <t>Added Annual Particulates Emissions Costs due to Closure</t>
  </si>
  <si>
    <t>Added Annual Sulfur Dioxide Emissions Costs due to Closure</t>
  </si>
  <si>
    <t>WIN:</t>
  </si>
  <si>
    <t>Emission Costs*</t>
  </si>
  <si>
    <t>sum of PM2.5 rates</t>
  </si>
  <si>
    <t>2020 Emissions Rates (grams/veh-mile)</t>
  </si>
  <si>
    <t>Emissions Unit Costs</t>
  </si>
  <si>
    <t>$/short ton</t>
  </si>
  <si>
    <t xml:space="preserve">Source: </t>
  </si>
  <si>
    <t>Emissions Rates Used in Benefit-Cost Analysis</t>
  </si>
  <si>
    <t>Maine Department of Environmental Protection</t>
  </si>
  <si>
    <t>Emissions**</t>
  </si>
  <si>
    <t>**For sources and calculations, see "Emission Rates" tab.</t>
  </si>
  <si>
    <t>*For emissions costs sources, see "Unit Cost Sources" tab.</t>
  </si>
  <si>
    <t>Benefit-Cost Analysis Guidance for Discretionary Grant Programs, USDOT, January 2020</t>
  </si>
  <si>
    <t>Augusta</t>
  </si>
  <si>
    <t>Bridge (#5808)</t>
  </si>
  <si>
    <t>Benefit-Cost Analysis Guidance for Discretionary Grant Programs, USDOT, 2022</t>
  </si>
  <si>
    <t>Existing Base Network</t>
  </si>
  <si>
    <t>No W. Ave Bridge</t>
  </si>
  <si>
    <t>No Bridge Minus Base</t>
  </si>
  <si>
    <t>Sum(VDT_1)</t>
  </si>
  <si>
    <t>Sum(VHT_1)</t>
  </si>
  <si>
    <t>COUNTY</t>
  </si>
  <si>
    <t>&lt; 0.5</t>
  </si>
  <si>
    <t>Androscoggin</t>
  </si>
  <si>
    <t>Aroostook</t>
  </si>
  <si>
    <t>Cumberland</t>
  </si>
  <si>
    <t>Franklin</t>
  </si>
  <si>
    <t>Hancock</t>
  </si>
  <si>
    <t>Kennebec</t>
  </si>
  <si>
    <t>Knox</t>
  </si>
  <si>
    <t>Lincoln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</si>
  <si>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</si>
  <si>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</si>
  <si>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</si>
  <si>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</si>
  <si>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</si>
  <si>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</si>
  <si>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</si>
  <si>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</si>
  <si>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Totals</t>
  </si>
  <si>
    <t>Westbound Veh</t>
  </si>
  <si>
    <t>VEH_TOT</t>
  </si>
  <si>
    <t>SUT</t>
  </si>
  <si>
    <t>COMB</t>
  </si>
  <si>
    <t>Eastbound Veh</t>
  </si>
  <si>
    <t>TOTAL BRIDGE VEHICLES</t>
  </si>
  <si>
    <t xml:space="preserve">Assigned AADT at Location </t>
  </si>
  <si>
    <t>combined</t>
  </si>
  <si>
    <t>Added VMT/Detoured Vehicle</t>
  </si>
  <si>
    <t>VMT/VHT</t>
  </si>
  <si>
    <t>Added VHT/Detoured Vehicle</t>
  </si>
  <si>
    <t>minutes/veh</t>
  </si>
  <si>
    <t>Statewide Model Growth/Year</t>
  </si>
  <si>
    <t>NB</t>
  </si>
  <si>
    <t>SB</t>
  </si>
  <si>
    <t>Use</t>
  </si>
  <si>
    <t>per year</t>
  </si>
  <si>
    <t>Crash Count</t>
  </si>
  <si>
    <t>Injury Level</t>
  </si>
  <si>
    <t>PD</t>
  </si>
  <si>
    <t>AVMT</t>
  </si>
  <si>
    <t>Federal Functional Class Description</t>
  </si>
  <si>
    <t>Interstate</t>
  </si>
  <si>
    <t>Local</t>
  </si>
  <si>
    <t>Major Collector</t>
  </si>
  <si>
    <t>Minor Arterial</t>
  </si>
  <si>
    <t>Minor Collector</t>
  </si>
  <si>
    <t>Other Freeway or Expressway</t>
  </si>
  <si>
    <t>Other Principal Arterial</t>
  </si>
  <si>
    <t>Grand Total</t>
  </si>
  <si>
    <t>2017-2021</t>
  </si>
  <si>
    <t>State of Maine Crash Data (Dashboard)</t>
  </si>
  <si>
    <t>State of Maine VMT (Dashboard)</t>
  </si>
  <si>
    <t>Statewide VMT (2017-21, millions)</t>
  </si>
  <si>
    <t>Statewide Crashes by Severity Level (2017-21)</t>
  </si>
  <si>
    <t>7% NPV Summary over 30 Years</t>
  </si>
  <si>
    <t>Costs</t>
  </si>
  <si>
    <t>Benefits</t>
  </si>
  <si>
    <t>CAPEX - Project Cost</t>
  </si>
  <si>
    <t>Residual Value of the Project</t>
  </si>
  <si>
    <t>TOTAL</t>
  </si>
  <si>
    <t>Benefit-Cost Ratio</t>
  </si>
  <si>
    <t>Total Project Cost</t>
  </si>
  <si>
    <t>Capital Cost</t>
  </si>
  <si>
    <t>7% NPV</t>
  </si>
  <si>
    <t>All prior year costs included in 2022</t>
  </si>
  <si>
    <t>Build vs No Build</t>
  </si>
  <si>
    <t>D</t>
  </si>
  <si>
    <t>E</t>
  </si>
  <si>
    <t>F</t>
  </si>
  <si>
    <t>Maintenance Costs  (No-Build Scenario)</t>
  </si>
  <si>
    <t>Net Maintenance Costs (C-D)</t>
  </si>
  <si>
    <t>2022 (Baseline)</t>
  </si>
  <si>
    <t>Total Benefits - NOT Discounted</t>
  </si>
  <si>
    <t>Useful life</t>
  </si>
  <si>
    <t>Residual Value</t>
  </si>
  <si>
    <t>Emissions Savings</t>
  </si>
  <si>
    <t>If the Bridge Project is not completed, negative events are expected that yield</t>
  </si>
  <si>
    <t>outages in the years shown and for the number of week durations as shown</t>
  </si>
  <si>
    <t>Weeks OOS</t>
  </si>
  <si>
    <t>Project Year</t>
  </si>
  <si>
    <t>Bridge is Posted with weight restriction and 50% of trucks cannot use the Bridge</t>
  </si>
  <si>
    <t>Bridge takes minor hit</t>
  </si>
  <si>
    <t>Bridge takes major hit</t>
  </si>
  <si>
    <t>Bridge is taken out of service</t>
  </si>
  <si>
    <t>Bridge is now restricted and no trucks can use the bridge</t>
  </si>
  <si>
    <t>User Cost, Time &amp; Crash Savings</t>
  </si>
  <si>
    <t>User Cost, Time &amp; Crash Savings Trucks Only</t>
  </si>
  <si>
    <t>Total Savings</t>
  </si>
  <si>
    <t>NPV $ 7%</t>
  </si>
  <si>
    <t>Minor</t>
  </si>
  <si>
    <t>Major</t>
  </si>
  <si>
    <t>Emissions savings follow the User Cost, Time and Crash Savings</t>
  </si>
  <si>
    <t>% of Total Emissions Savings</t>
  </si>
  <si>
    <t>VOC Savings</t>
  </si>
  <si>
    <t>Nox Savings</t>
  </si>
  <si>
    <t>Particulates Savings</t>
  </si>
  <si>
    <t>Sulfur Dioxide Savings</t>
  </si>
  <si>
    <t>Emissions Savings Total</t>
  </si>
  <si>
    <t>years</t>
  </si>
  <si>
    <t>Bridge inspection, bridge cleaning, patching of concrete wearing surface</t>
  </si>
  <si>
    <t>Bridge cleaning, minor concrete patching</t>
  </si>
  <si>
    <t>Bridge removed for replacement</t>
  </si>
  <si>
    <t>Bridge construction completed during 2025</t>
  </si>
  <si>
    <t>Bridge inspection &amp; cleaning</t>
  </si>
  <si>
    <t>Bridge cleaning</t>
  </si>
  <si>
    <t>Bridge cleaning, inspection &amp; wearing surface mill &amp; overlay</t>
  </si>
  <si>
    <t>Activity</t>
  </si>
  <si>
    <t>Maintenance Costs (post-BIP Grant) start in Year 2026</t>
  </si>
  <si>
    <t>Bridge cleaning, major concrete patching</t>
  </si>
  <si>
    <t>Bridge inspection, bridge cleaning, major concrete patching</t>
  </si>
  <si>
    <r>
      <t xml:space="preserve">Bridge inspection, bridge cleaning, major concrete patching, </t>
    </r>
    <r>
      <rPr>
        <b/>
        <sz val="11"/>
        <color rgb="FF000000"/>
        <rFont val="Calibri"/>
        <family val="2"/>
      </rPr>
      <t>major rehab. impact damage</t>
    </r>
  </si>
  <si>
    <r>
      <t xml:space="preserve">Bridge cleaning, major concrete patching, </t>
    </r>
    <r>
      <rPr>
        <b/>
        <sz val="11"/>
        <color rgb="FF000000"/>
        <rFont val="Calibri"/>
        <family val="2"/>
      </rPr>
      <t>rehab. impact damage</t>
    </r>
  </si>
  <si>
    <t>Bridge cleaning, major patching of concrete, wearing surface replacement</t>
  </si>
  <si>
    <r>
      <t>Bridge cleaning, major concrete patching,</t>
    </r>
    <r>
      <rPr>
        <b/>
        <sz val="11"/>
        <color rgb="FF000000"/>
        <rFont val="Calibri"/>
        <family val="2"/>
      </rPr>
      <t xml:space="preserve"> rehab. impact damage</t>
    </r>
  </si>
  <si>
    <t>Bridge taken out of service</t>
  </si>
  <si>
    <t>Bridge inspection, bridge cleaning, major patching of concrete,</t>
  </si>
  <si>
    <t>Bridge inspection, bridge cleaning, major concrete patching, WS mill &amp; overlay</t>
  </si>
  <si>
    <t>Maintenance (Net)</t>
  </si>
  <si>
    <t>User Time, Operating &amp; Crash Savings</t>
  </si>
  <si>
    <t>Maintenance Costs - Augusta BIP Grant</t>
  </si>
  <si>
    <t>MaineDOT builds bridges to 100 year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</si>
</sst>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"/>
    <numFmt numFmtId="166" formatCode="0.000000"/>
    <numFmt numFmtId="167" formatCode="0_);\(0\)"/>
    <numFmt numFmtId="168" formatCode="0.0%"/>
    <numFmt numFmtId="169" formatCode="&quot;$&quot;#,##0"/>
    <numFmt numFmtId="170" formatCode="&quot; &quot;&quot;$&quot;* #,##0&quot; &quot;;&quot; &quot;&quot;$&quot;* \(#,##0\);&quot; &quot;&quot;$&quot;* &quot;-&quot;??&quot; &quot;"/>
    <numFmt numFmtId="171" formatCode="_(* #,##0_);_(* \(#,##0\);_(* &quot;-&quot;??_);_(@_)"/>
    <numFmt numFmtId="172" formatCode="&quot;$&quot;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u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0"/>
      <name val="Arial"/>
    </font>
    <font>
      <b/>
      <sz val="11"/>
      <color rgb="FF000000"/>
      <name val="Calibri"/>
      <family val="2"/>
    </font>
    <font>
      <sz val="12"/>
      <color indexed="8"/>
      <name val="Verdana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rgb="FF00B050"/>
      <name val="Arial"/>
      <family val="2"/>
    </font>
    <font>
      <b/>
      <sz val="12"/>
      <color indexed="8"/>
      <name val="Verdana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2"/>
      <name val="Verdana"/>
      <family val="2"/>
    </font>
    <font>
      <sz val="10"/>
      <name val="Verdana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5D9E2"/>
      </patternFill>
    </fill>
    <fill>
      <patternFill patternType="solid">
        <fgColor rgb="FFF9F9F9"/>
      </patternFill>
    </fill>
    <fill>
      <patternFill patternType="solid">
        <fgColor rgb="FFFFFFFF"/>
      </patternFill>
    </fill>
    <fill>
      <patternFill patternType="solid">
        <fgColor rgb="FFF3F2EA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6EC03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auto="1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/>
      <right/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3" fillId="0" borderId="0"/>
    <xf numFmtId="43" fontId="16" fillId="0" borderId="0" applyFont="0" applyFill="0" applyBorder="0" applyAlignment="0" applyProtection="0"/>
  </cellStyleXfs>
  <cellXfs count="246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2" fontId="0" fillId="0" borderId="0" xfId="0" applyNumberFormat="1"/>
    <xf numFmtId="4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2" fontId="4" fillId="0" borderId="0" xfId="0" applyNumberFormat="1" applyFont="1"/>
    <xf numFmtId="0" fontId="5" fillId="0" borderId="0" xfId="0" applyFont="1"/>
    <xf numFmtId="6" fontId="0" fillId="0" borderId="0" xfId="0" applyNumberFormat="1"/>
    <xf numFmtId="0" fontId="0" fillId="0" borderId="0" xfId="0" applyAlignment="1">
      <alignment horizontal="right" wrapText="1"/>
    </xf>
    <xf numFmtId="0" fontId="6" fillId="0" borderId="0" xfId="0" applyFont="1"/>
    <xf numFmtId="166" fontId="0" fillId="0" borderId="0" xfId="0" applyNumberFormat="1"/>
    <xf numFmtId="0" fontId="4" fillId="0" borderId="0" xfId="0" applyFont="1"/>
    <xf numFmtId="166" fontId="4" fillId="0" borderId="0" xfId="0" applyNumberFormat="1" applyFont="1"/>
    <xf numFmtId="166" fontId="5" fillId="0" borderId="0" xfId="0" applyNumberFormat="1" applyFont="1"/>
    <xf numFmtId="0" fontId="0" fillId="0" borderId="2" xfId="0" applyBorder="1"/>
    <xf numFmtId="1" fontId="0" fillId="0" borderId="0" xfId="0" applyNumberFormat="1"/>
    <xf numFmtId="164" fontId="0" fillId="0" borderId="0" xfId="0" applyNumberFormat="1"/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1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2" xfId="0" applyNumberFormat="1" applyBorder="1"/>
    <xf numFmtId="164" fontId="0" fillId="0" borderId="4" xfId="0" applyNumberFormat="1" applyBorder="1"/>
    <xf numFmtId="9" fontId="0" fillId="0" borderId="7" xfId="2" applyFont="1" applyBorder="1"/>
    <xf numFmtId="9" fontId="0" fillId="0" borderId="8" xfId="2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165" fontId="0" fillId="0" borderId="0" xfId="0" applyNumberFormat="1"/>
    <xf numFmtId="6" fontId="0" fillId="0" borderId="3" xfId="0" applyNumberFormat="1" applyBorder="1"/>
    <xf numFmtId="165" fontId="0" fillId="0" borderId="5" xfId="0" applyNumberFormat="1" applyBorder="1"/>
    <xf numFmtId="6" fontId="0" fillId="0" borderId="5" xfId="0" applyNumberFormat="1" applyBorder="1"/>
    <xf numFmtId="6" fontId="0" fillId="0" borderId="6" xfId="0" applyNumberFormat="1" applyBorder="1"/>
    <xf numFmtId="6" fontId="0" fillId="0" borderId="2" xfId="0" applyNumberFormat="1" applyBorder="1"/>
    <xf numFmtId="6" fontId="0" fillId="0" borderId="4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6" xfId="0" applyNumberFormat="1" applyBorder="1"/>
    <xf numFmtId="0" fontId="2" fillId="0" borderId="0" xfId="0" applyFont="1"/>
    <xf numFmtId="6" fontId="4" fillId="0" borderId="0" xfId="0" applyNumberFormat="1" applyFont="1"/>
    <xf numFmtId="0" fontId="1" fillId="0" borderId="0" xfId="3"/>
    <xf numFmtId="0" fontId="8" fillId="0" borderId="0" xfId="3" applyFont="1" applyAlignment="1">
      <alignment horizontal="center"/>
    </xf>
    <xf numFmtId="0" fontId="8" fillId="0" borderId="12" xfId="3" applyFont="1" applyBorder="1" applyAlignment="1">
      <alignment horizontal="center"/>
    </xf>
    <xf numFmtId="0" fontId="8" fillId="0" borderId="13" xfId="3" applyFont="1" applyBorder="1" applyAlignment="1">
      <alignment horizontal="center"/>
    </xf>
    <xf numFmtId="0" fontId="8" fillId="0" borderId="14" xfId="3" applyFont="1" applyBorder="1" applyAlignment="1">
      <alignment horizontal="center"/>
    </xf>
    <xf numFmtId="0" fontId="1" fillId="0" borderId="15" xfId="3" applyBorder="1"/>
    <xf numFmtId="0" fontId="1" fillId="0" borderId="16" xfId="3" applyBorder="1"/>
    <xf numFmtId="167" fontId="1" fillId="0" borderId="0" xfId="3" applyNumberFormat="1" applyAlignment="1">
      <alignment horizontal="center"/>
    </xf>
    <xf numFmtId="167" fontId="1" fillId="0" borderId="16" xfId="3" applyNumberFormat="1" applyBorder="1" applyAlignment="1">
      <alignment horizontal="center"/>
    </xf>
    <xf numFmtId="0" fontId="9" fillId="0" borderId="17" xfId="3" applyFont="1" applyBorder="1" applyAlignment="1">
      <alignment horizontal="right"/>
    </xf>
    <xf numFmtId="167" fontId="10" fillId="0" borderId="18" xfId="3" applyNumberFormat="1" applyFont="1" applyBorder="1" applyAlignment="1">
      <alignment horizontal="center"/>
    </xf>
    <xf numFmtId="167" fontId="10" fillId="0" borderId="19" xfId="3" applyNumberFormat="1" applyFont="1" applyBorder="1" applyAlignment="1">
      <alignment horizontal="center"/>
    </xf>
    <xf numFmtId="0" fontId="10" fillId="0" borderId="0" xfId="3" applyFont="1"/>
    <xf numFmtId="0" fontId="7" fillId="0" borderId="0" xfId="3" applyFont="1"/>
    <xf numFmtId="0" fontId="11" fillId="0" borderId="0" xfId="3" applyFont="1"/>
    <xf numFmtId="0" fontId="12" fillId="0" borderId="12" xfId="3" applyFont="1" applyBorder="1" applyAlignment="1">
      <alignment horizontal="center"/>
    </xf>
    <xf numFmtId="0" fontId="12" fillId="0" borderId="14" xfId="3" applyFont="1" applyBorder="1" applyAlignment="1">
      <alignment horizontal="center"/>
    </xf>
    <xf numFmtId="0" fontId="12" fillId="0" borderId="20" xfId="3" applyFont="1" applyBorder="1" applyAlignment="1">
      <alignment horizontal="center"/>
    </xf>
    <xf numFmtId="0" fontId="12" fillId="0" borderId="21" xfId="3" applyFont="1" applyBorder="1" applyAlignment="1">
      <alignment horizontal="center"/>
    </xf>
    <xf numFmtId="0" fontId="8" fillId="0" borderId="0" xfId="3" applyFont="1"/>
    <xf numFmtId="44" fontId="1" fillId="0" borderId="0" xfId="3" applyNumberFormat="1"/>
    <xf numFmtId="168" fontId="1" fillId="0" borderId="0" xfId="2" applyNumberFormat="1" applyFont="1"/>
    <xf numFmtId="0" fontId="13" fillId="3" borderId="22" xfId="4" applyFill="1" applyBorder="1" applyAlignment="1">
      <alignment horizontal="left" vertical="top" wrapText="1"/>
    </xf>
    <xf numFmtId="0" fontId="13" fillId="0" borderId="0" xfId="4"/>
    <xf numFmtId="0" fontId="14" fillId="3" borderId="22" xfId="4" applyFont="1" applyFill="1" applyBorder="1" applyAlignment="1">
      <alignment horizontal="left" vertical="top" wrapText="1"/>
    </xf>
    <xf numFmtId="1" fontId="14" fillId="3" borderId="23" xfId="4" applyNumberFormat="1" applyFont="1" applyFill="1" applyBorder="1" applyAlignment="1">
      <alignment horizontal="right" vertical="top" wrapText="1"/>
    </xf>
    <xf numFmtId="0" fontId="13" fillId="3" borderId="26" xfId="4" applyFill="1" applyBorder="1" applyAlignment="1">
      <alignment horizontal="right" vertical="top" wrapText="1"/>
    </xf>
    <xf numFmtId="0" fontId="14" fillId="4" borderId="23" xfId="4" applyFont="1" applyFill="1" applyBorder="1" applyAlignment="1">
      <alignment horizontal="left" vertical="top" wrapText="1"/>
    </xf>
    <xf numFmtId="1" fontId="14" fillId="5" borderId="23" xfId="4" applyNumberFormat="1" applyFont="1" applyFill="1" applyBorder="1" applyAlignment="1">
      <alignment horizontal="right" vertical="top" wrapText="1"/>
    </xf>
    <xf numFmtId="0" fontId="13" fillId="5" borderId="26" xfId="4" applyFill="1" applyBorder="1" applyAlignment="1">
      <alignment horizontal="right" vertical="top" wrapText="1"/>
    </xf>
    <xf numFmtId="0" fontId="13" fillId="4" borderId="23" xfId="4" applyFill="1" applyBorder="1" applyAlignment="1">
      <alignment horizontal="left" vertical="top" wrapText="1"/>
    </xf>
    <xf numFmtId="1" fontId="14" fillId="5" borderId="26" xfId="4" applyNumberFormat="1" applyFont="1" applyFill="1" applyBorder="1" applyAlignment="1">
      <alignment horizontal="right" vertical="top" wrapText="1"/>
    </xf>
    <xf numFmtId="0" fontId="14" fillId="3" borderId="23" xfId="4" applyFont="1" applyFill="1" applyBorder="1" applyAlignment="1">
      <alignment horizontal="left" vertical="top" wrapText="1"/>
    </xf>
    <xf numFmtId="1" fontId="15" fillId="6" borderId="26" xfId="4" applyNumberFormat="1" applyFont="1" applyFill="1" applyBorder="1" applyAlignment="1">
      <alignment horizontal="right" vertical="top" wrapText="1"/>
    </xf>
    <xf numFmtId="0" fontId="13" fillId="5" borderId="23" xfId="4" applyFill="1" applyBorder="1" applyAlignment="1">
      <alignment horizontal="right" vertical="top" wrapText="1"/>
    </xf>
    <xf numFmtId="0" fontId="15" fillId="6" borderId="23" xfId="4" applyFont="1" applyFill="1" applyBorder="1" applyAlignment="1">
      <alignment horizontal="left" vertical="top" wrapText="1"/>
    </xf>
    <xf numFmtId="1" fontId="15" fillId="6" borderId="23" xfId="4" applyNumberFormat="1" applyFont="1" applyFill="1" applyBorder="1" applyAlignment="1">
      <alignment horizontal="right" vertical="top" wrapText="1"/>
    </xf>
    <xf numFmtId="1" fontId="13" fillId="0" borderId="0" xfId="4" applyNumberFormat="1"/>
    <xf numFmtId="2" fontId="1" fillId="0" borderId="0" xfId="3" applyNumberFormat="1"/>
    <xf numFmtId="8" fontId="0" fillId="0" borderId="0" xfId="0" applyNumberFormat="1"/>
    <xf numFmtId="3" fontId="1" fillId="0" borderId="0" xfId="3" applyNumberFormat="1"/>
    <xf numFmtId="3" fontId="0" fillId="0" borderId="0" xfId="0" applyNumberFormat="1"/>
    <xf numFmtId="3" fontId="0" fillId="0" borderId="3" xfId="0" applyNumberFormat="1" applyBorder="1"/>
    <xf numFmtId="0" fontId="0" fillId="0" borderId="1" xfId="0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2" borderId="0" xfId="0" applyNumberFormat="1" applyFill="1"/>
    <xf numFmtId="168" fontId="0" fillId="0" borderId="0" xfId="0" applyNumberFormat="1"/>
    <xf numFmtId="3" fontId="0" fillId="0" borderId="2" xfId="0" applyNumberFormat="1" applyBorder="1"/>
    <xf numFmtId="3" fontId="14" fillId="5" borderId="23" xfId="4" applyNumberFormat="1" applyFont="1" applyFill="1" applyBorder="1" applyAlignment="1">
      <alignment horizontal="right" vertical="top" wrapText="1"/>
    </xf>
    <xf numFmtId="3" fontId="13" fillId="5" borderId="23" xfId="4" applyNumberFormat="1" applyFill="1" applyBorder="1" applyAlignment="1">
      <alignment horizontal="right" vertical="top" wrapText="1"/>
    </xf>
    <xf numFmtId="0" fontId="18" fillId="7" borderId="14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1" fontId="19" fillId="0" borderId="31" xfId="0" applyNumberFormat="1" applyFont="1" applyBorder="1"/>
    <xf numFmtId="0" fontId="17" fillId="8" borderId="32" xfId="0" applyFont="1" applyFill="1" applyBorder="1" applyAlignment="1">
      <alignment horizontal="center"/>
    </xf>
    <xf numFmtId="0" fontId="17" fillId="9" borderId="33" xfId="0" applyFont="1" applyFill="1" applyBorder="1" applyAlignment="1">
      <alignment horizontal="center"/>
    </xf>
    <xf numFmtId="1" fontId="19" fillId="7" borderId="34" xfId="0" applyNumberFormat="1" applyFont="1" applyFill="1" applyBorder="1" applyAlignment="1">
      <alignment horizontal="center"/>
    </xf>
    <xf numFmtId="0" fontId="17" fillId="7" borderId="35" xfId="0" applyFont="1" applyFill="1" applyBorder="1"/>
    <xf numFmtId="169" fontId="19" fillId="0" borderId="36" xfId="1" applyNumberFormat="1" applyFont="1" applyFill="1" applyBorder="1"/>
    <xf numFmtId="169" fontId="19" fillId="0" borderId="14" xfId="1" applyNumberFormat="1" applyFont="1" applyFill="1" applyBorder="1"/>
    <xf numFmtId="1" fontId="19" fillId="7" borderId="16" xfId="0" applyNumberFormat="1" applyFont="1" applyFill="1" applyBorder="1" applyAlignment="1">
      <alignment horizontal="center"/>
    </xf>
    <xf numFmtId="169" fontId="19" fillId="0" borderId="37" xfId="1" applyNumberFormat="1" applyFont="1" applyFill="1" applyBorder="1"/>
    <xf numFmtId="169" fontId="20" fillId="0" borderId="38" xfId="1" applyNumberFormat="1" applyFont="1" applyFill="1" applyBorder="1"/>
    <xf numFmtId="0" fontId="17" fillId="7" borderId="39" xfId="0" applyFont="1" applyFill="1" applyBorder="1"/>
    <xf numFmtId="0" fontId="17" fillId="7" borderId="40" xfId="0" applyFont="1" applyFill="1" applyBorder="1"/>
    <xf numFmtId="169" fontId="19" fillId="0" borderId="41" xfId="1" applyNumberFormat="1" applyFont="1" applyFill="1" applyBorder="1"/>
    <xf numFmtId="0" fontId="17" fillId="7" borderId="39" xfId="0" applyFont="1" applyFill="1" applyBorder="1" applyAlignment="1">
      <alignment vertical="center"/>
    </xf>
    <xf numFmtId="169" fontId="19" fillId="0" borderId="37" xfId="1" applyNumberFormat="1" applyFont="1" applyFill="1" applyBorder="1" applyAlignment="1">
      <alignment vertical="center"/>
    </xf>
    <xf numFmtId="0" fontId="17" fillId="10" borderId="17" xfId="0" applyFont="1" applyFill="1" applyBorder="1"/>
    <xf numFmtId="164" fontId="17" fillId="10" borderId="42" xfId="1" applyNumberFormat="1" applyFont="1" applyFill="1" applyBorder="1"/>
    <xf numFmtId="169" fontId="17" fillId="10" borderId="19" xfId="1" applyNumberFormat="1" applyFont="1" applyFill="1" applyBorder="1"/>
    <xf numFmtId="1" fontId="19" fillId="7" borderId="43" xfId="0" applyNumberFormat="1" applyFont="1" applyFill="1" applyBorder="1" applyAlignment="1">
      <alignment horizontal="center"/>
    </xf>
    <xf numFmtId="44" fontId="19" fillId="0" borderId="44" xfId="1" applyFont="1" applyBorder="1"/>
    <xf numFmtId="44" fontId="19" fillId="0" borderId="45" xfId="1" applyFont="1" applyBorder="1"/>
    <xf numFmtId="2" fontId="19" fillId="10" borderId="46" xfId="0" applyNumberFormat="1" applyFont="1" applyFill="1" applyBorder="1" applyAlignment="1">
      <alignment horizontal="center"/>
    </xf>
    <xf numFmtId="0" fontId="21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right" vertical="top"/>
    </xf>
    <xf numFmtId="164" fontId="24" fillId="0" borderId="47" xfId="1" applyNumberFormat="1" applyFont="1" applyBorder="1"/>
    <xf numFmtId="0" fontId="18" fillId="11" borderId="0" xfId="0" applyFont="1" applyFill="1" applyAlignment="1">
      <alignment vertical="top" wrapText="1"/>
    </xf>
    <xf numFmtId="0" fontId="25" fillId="12" borderId="48" xfId="0" applyFont="1" applyFill="1" applyBorder="1" applyAlignment="1">
      <alignment horizontal="center"/>
    </xf>
    <xf numFmtId="0" fontId="25" fillId="11" borderId="49" xfId="0" applyFont="1" applyFill="1" applyBorder="1" applyAlignment="1">
      <alignment horizontal="center"/>
    </xf>
    <xf numFmtId="0" fontId="25" fillId="11" borderId="50" xfId="0" applyFont="1" applyFill="1" applyBorder="1" applyAlignment="1">
      <alignment horizontal="center"/>
    </xf>
    <xf numFmtId="0" fontId="24" fillId="0" borderId="51" xfId="0" applyFont="1" applyBorder="1"/>
    <xf numFmtId="0" fontId="19" fillId="0" borderId="52" xfId="0" applyFont="1" applyBorder="1"/>
    <xf numFmtId="170" fontId="24" fillId="0" borderId="53" xfId="0" applyNumberFormat="1" applyFont="1" applyBorder="1"/>
    <xf numFmtId="0" fontId="18" fillId="0" borderId="0" xfId="0" applyFont="1" applyAlignment="1">
      <alignment vertical="top"/>
    </xf>
    <xf numFmtId="0" fontId="24" fillId="0" borderId="54" xfId="0" applyFont="1" applyBorder="1"/>
    <xf numFmtId="0" fontId="19" fillId="0" borderId="55" xfId="0" applyFont="1" applyBorder="1"/>
    <xf numFmtId="0" fontId="24" fillId="0" borderId="56" xfId="0" applyFont="1" applyBorder="1"/>
    <xf numFmtId="170" fontId="24" fillId="0" borderId="52" xfId="0" applyNumberFormat="1" applyFont="1" applyBorder="1" applyAlignment="1">
      <alignment horizontal="left"/>
    </xf>
    <xf numFmtId="1" fontId="24" fillId="0" borderId="52" xfId="0" applyNumberFormat="1" applyFont="1" applyBorder="1"/>
    <xf numFmtId="0" fontId="24" fillId="0" borderId="57" xfId="0" applyFont="1" applyBorder="1"/>
    <xf numFmtId="1" fontId="24" fillId="0" borderId="58" xfId="0" applyNumberFormat="1" applyFont="1" applyBorder="1"/>
    <xf numFmtId="0" fontId="24" fillId="0" borderId="59" xfId="0" applyFont="1" applyBorder="1"/>
    <xf numFmtId="0" fontId="19" fillId="0" borderId="60" xfId="0" applyFont="1" applyBorder="1"/>
    <xf numFmtId="1" fontId="24" fillId="0" borderId="61" xfId="0" applyNumberFormat="1" applyFont="1" applyBorder="1"/>
    <xf numFmtId="170" fontId="24" fillId="0" borderId="62" xfId="0" applyNumberFormat="1" applyFont="1" applyBorder="1"/>
    <xf numFmtId="1" fontId="24" fillId="0" borderId="63" xfId="0" applyNumberFormat="1" applyFont="1" applyBorder="1"/>
    <xf numFmtId="170" fontId="24" fillId="13" borderId="64" xfId="0" applyNumberFormat="1" applyFont="1" applyFill="1" applyBorder="1"/>
    <xf numFmtId="170" fontId="24" fillId="0" borderId="52" xfId="0" applyNumberFormat="1" applyFont="1" applyBorder="1"/>
    <xf numFmtId="169" fontId="0" fillId="0" borderId="0" xfId="0" applyNumberFormat="1"/>
    <xf numFmtId="0" fontId="25" fillId="12" borderId="65" xfId="0" applyFont="1" applyFill="1" applyBorder="1" applyAlignment="1">
      <alignment horizontal="center"/>
    </xf>
    <xf numFmtId="0" fontId="25" fillId="11" borderId="52" xfId="0" applyFont="1" applyFill="1" applyBorder="1" applyAlignment="1">
      <alignment horizontal="center"/>
    </xf>
    <xf numFmtId="0" fontId="24" fillId="0" borderId="70" xfId="0" applyFont="1" applyBorder="1"/>
    <xf numFmtId="0" fontId="18" fillId="2" borderId="0" xfId="0" applyFont="1" applyFill="1" applyAlignment="1">
      <alignment vertical="top" wrapText="1"/>
    </xf>
    <xf numFmtId="169" fontId="0" fillId="0" borderId="0" xfId="0" applyNumberFormat="1" applyAlignment="1">
      <alignment vertical="top" wrapText="1"/>
    </xf>
    <xf numFmtId="9" fontId="18" fillId="0" borderId="0" xfId="0" applyNumberFormat="1" applyFont="1" applyAlignment="1">
      <alignment vertical="top" wrapText="1"/>
    </xf>
    <xf numFmtId="0" fontId="26" fillId="0" borderId="9" xfId="0" applyFont="1" applyBorder="1" applyAlignment="1">
      <alignment horizontal="right" wrapText="1"/>
    </xf>
    <xf numFmtId="0" fontId="26" fillId="0" borderId="1" xfId="0" applyFont="1" applyBorder="1" applyAlignment="1">
      <alignment horizontal="right" wrapText="1"/>
    </xf>
    <xf numFmtId="0" fontId="0" fillId="0" borderId="0" xfId="0" applyAlignment="1">
      <alignment vertical="top"/>
    </xf>
    <xf numFmtId="0" fontId="24" fillId="0" borderId="71" xfId="0" applyFont="1" applyBorder="1"/>
    <xf numFmtId="0" fontId="25" fillId="11" borderId="52" xfId="0" applyFont="1" applyFill="1" applyBorder="1" applyAlignment="1">
      <alignment horizontal="center" wrapText="1"/>
    </xf>
    <xf numFmtId="0" fontId="19" fillId="0" borderId="58" xfId="0" applyFont="1" applyBorder="1"/>
    <xf numFmtId="0" fontId="24" fillId="0" borderId="73" xfId="0" applyFont="1" applyBorder="1"/>
    <xf numFmtId="0" fontId="24" fillId="0" borderId="74" xfId="0" applyFont="1" applyBorder="1"/>
    <xf numFmtId="0" fontId="19" fillId="0" borderId="75" xfId="0" applyFont="1" applyBorder="1"/>
    <xf numFmtId="0" fontId="2" fillId="0" borderId="0" xfId="0" applyFont="1" applyAlignment="1">
      <alignment vertical="top"/>
    </xf>
    <xf numFmtId="0" fontId="19" fillId="0" borderId="68" xfId="0" applyFont="1" applyBorder="1"/>
    <xf numFmtId="0" fontId="19" fillId="0" borderId="68" xfId="0" applyFont="1" applyBorder="1" applyAlignment="1">
      <alignment horizontal="right"/>
    </xf>
    <xf numFmtId="0" fontId="19" fillId="0" borderId="76" xfId="0" applyFont="1" applyBorder="1"/>
    <xf numFmtId="0" fontId="19" fillId="0" borderId="76" xfId="0" applyFont="1" applyBorder="1" applyAlignment="1">
      <alignment horizontal="right"/>
    </xf>
    <xf numFmtId="0" fontId="19" fillId="0" borderId="77" xfId="0" applyFont="1" applyBorder="1"/>
    <xf numFmtId="0" fontId="25" fillId="11" borderId="58" xfId="0" applyFont="1" applyFill="1" applyBorder="1" applyAlignment="1">
      <alignment horizontal="center"/>
    </xf>
    <xf numFmtId="0" fontId="25" fillId="11" borderId="58" xfId="0" applyFont="1" applyFill="1" applyBorder="1" applyAlignment="1">
      <alignment horizontal="center" wrapText="1"/>
    </xf>
    <xf numFmtId="171" fontId="24" fillId="0" borderId="72" xfId="5" applyNumberFormat="1" applyFont="1" applyBorder="1" applyAlignment="1">
      <alignment horizontal="left"/>
    </xf>
    <xf numFmtId="169" fontId="21" fillId="0" borderId="72" xfId="0" applyNumberFormat="1" applyFont="1" applyBorder="1" applyAlignment="1">
      <alignment vertical="top"/>
    </xf>
    <xf numFmtId="169" fontId="22" fillId="0" borderId="72" xfId="0" applyNumberFormat="1" applyFont="1" applyBorder="1" applyAlignment="1">
      <alignment vertical="top"/>
    </xf>
    <xf numFmtId="170" fontId="24" fillId="0" borderId="72" xfId="0" applyNumberFormat="1" applyFont="1" applyBorder="1"/>
    <xf numFmtId="171" fontId="24" fillId="0" borderId="72" xfId="5" applyNumberFormat="1" applyFont="1" applyBorder="1"/>
    <xf numFmtId="0" fontId="0" fillId="0" borderId="72" xfId="0" applyBorder="1" applyAlignment="1">
      <alignment vertical="top" wrapText="1"/>
    </xf>
    <xf numFmtId="168" fontId="0" fillId="0" borderId="0" xfId="2" applyNumberFormat="1" applyFont="1"/>
    <xf numFmtId="0" fontId="0" fillId="0" borderId="72" xfId="0" applyBorder="1" applyAlignment="1">
      <alignment vertical="top"/>
    </xf>
    <xf numFmtId="9" fontId="0" fillId="0" borderId="72" xfId="2" applyFont="1" applyBorder="1" applyAlignment="1">
      <alignment vertical="top"/>
    </xf>
    <xf numFmtId="6" fontId="0" fillId="0" borderId="72" xfId="0" applyNumberFormat="1" applyBorder="1" applyAlignment="1">
      <alignment vertical="top"/>
    </xf>
    <xf numFmtId="170" fontId="24" fillId="0" borderId="78" xfId="0" applyNumberFormat="1" applyFont="1" applyBorder="1" applyAlignment="1">
      <alignment horizontal="left"/>
    </xf>
    <xf numFmtId="170" fontId="25" fillId="2" borderId="32" xfId="0" applyNumberFormat="1" applyFont="1" applyFill="1" applyBorder="1"/>
    <xf numFmtId="0" fontId="27" fillId="0" borderId="0" xfId="0" applyFont="1" applyAlignment="1">
      <alignment vertical="top" wrapText="1"/>
    </xf>
    <xf numFmtId="170" fontId="18" fillId="14" borderId="0" xfId="0" applyNumberFormat="1" applyFont="1" applyFill="1" applyAlignment="1">
      <alignment vertical="top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 wrapText="1"/>
    </xf>
    <xf numFmtId="14" fontId="31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30" fillId="0" borderId="0" xfId="0" applyFont="1" applyAlignment="1">
      <alignment vertical="top"/>
    </xf>
    <xf numFmtId="0" fontId="32" fillId="2" borderId="65" xfId="0" applyFont="1" applyFill="1" applyBorder="1" applyAlignment="1">
      <alignment horizontal="center"/>
    </xf>
    <xf numFmtId="0" fontId="32" fillId="2" borderId="66" xfId="0" applyFont="1" applyFill="1" applyBorder="1" applyAlignment="1">
      <alignment horizontal="center"/>
    </xf>
    <xf numFmtId="0" fontId="32" fillId="2" borderId="66" xfId="0" applyFont="1" applyFill="1" applyBorder="1" applyAlignment="1">
      <alignment horizontal="center" wrapText="1"/>
    </xf>
    <xf numFmtId="0" fontId="32" fillId="2" borderId="79" xfId="0" applyFont="1" applyFill="1" applyBorder="1" applyAlignment="1">
      <alignment horizontal="center" wrapText="1"/>
    </xf>
    <xf numFmtId="0" fontId="20" fillId="0" borderId="67" xfId="0" applyFont="1" applyBorder="1"/>
    <xf numFmtId="170" fontId="20" fillId="0" borderId="52" xfId="0" applyNumberFormat="1" applyFont="1" applyBorder="1"/>
    <xf numFmtId="172" fontId="19" fillId="0" borderId="72" xfId="0" applyNumberFormat="1" applyFont="1" applyBorder="1" applyAlignment="1">
      <alignment horizontal="center"/>
    </xf>
    <xf numFmtId="0" fontId="19" fillId="0" borderId="72" xfId="0" applyFont="1" applyBorder="1"/>
    <xf numFmtId="172" fontId="28" fillId="0" borderId="72" xfId="0" applyNumberFormat="1" applyFont="1" applyBorder="1" applyAlignment="1">
      <alignment horizontal="center"/>
    </xf>
    <xf numFmtId="0" fontId="28" fillId="0" borderId="72" xfId="0" applyFont="1" applyBorder="1"/>
    <xf numFmtId="0" fontId="32" fillId="2" borderId="80" xfId="0" applyFont="1" applyFill="1" applyBorder="1" applyAlignment="1">
      <alignment horizontal="center"/>
    </xf>
    <xf numFmtId="0" fontId="32" fillId="2" borderId="79" xfId="0" applyFont="1" applyFill="1" applyBorder="1" applyAlignment="1">
      <alignment horizontal="center"/>
    </xf>
    <xf numFmtId="1" fontId="20" fillId="0" borderId="63" xfId="0" applyNumberFormat="1" applyFont="1" applyBorder="1"/>
    <xf numFmtId="169" fontId="20" fillId="0" borderId="63" xfId="0" applyNumberFormat="1" applyFont="1" applyBorder="1"/>
    <xf numFmtId="170" fontId="20" fillId="2" borderId="64" xfId="0" applyNumberFormat="1" applyFont="1" applyFill="1" applyBorder="1"/>
    <xf numFmtId="0" fontId="20" fillId="0" borderId="81" xfId="0" applyFont="1" applyBorder="1"/>
    <xf numFmtId="0" fontId="20" fillId="0" borderId="82" xfId="0" applyFont="1" applyBorder="1"/>
    <xf numFmtId="172" fontId="19" fillId="0" borderId="83" xfId="0" applyNumberFormat="1" applyFont="1" applyBorder="1" applyAlignment="1">
      <alignment horizontal="center"/>
    </xf>
    <xf numFmtId="0" fontId="19" fillId="0" borderId="83" xfId="0" applyFont="1" applyBorder="1"/>
    <xf numFmtId="170" fontId="20" fillId="0" borderId="49" xfId="0" applyNumberFormat="1" applyFont="1" applyBorder="1"/>
    <xf numFmtId="170" fontId="20" fillId="0" borderId="50" xfId="0" applyNumberFormat="1" applyFont="1" applyBorder="1"/>
    <xf numFmtId="0" fontId="20" fillId="0" borderId="56" xfId="0" applyFont="1" applyBorder="1"/>
    <xf numFmtId="170" fontId="20" fillId="0" borderId="53" xfId="0" applyNumberFormat="1" applyFont="1" applyBorder="1"/>
    <xf numFmtId="0" fontId="20" fillId="0" borderId="59" xfId="0" applyFont="1" applyBorder="1"/>
    <xf numFmtId="0" fontId="20" fillId="0" borderId="84" xfId="0" applyFont="1" applyBorder="1"/>
    <xf numFmtId="172" fontId="28" fillId="0" borderId="85" xfId="0" applyNumberFormat="1" applyFont="1" applyBorder="1" applyAlignment="1">
      <alignment horizontal="center"/>
    </xf>
    <xf numFmtId="0" fontId="28" fillId="0" borderId="85" xfId="0" applyFont="1" applyBorder="1"/>
    <xf numFmtId="172" fontId="19" fillId="0" borderId="85" xfId="0" applyNumberFormat="1" applyFont="1" applyBorder="1" applyAlignment="1">
      <alignment horizontal="center"/>
    </xf>
    <xf numFmtId="0" fontId="19" fillId="0" borderId="85" xfId="0" applyFont="1" applyBorder="1"/>
    <xf numFmtId="170" fontId="20" fillId="0" borderId="61" xfId="0" applyNumberFormat="1" applyFont="1" applyBorder="1"/>
    <xf numFmtId="170" fontId="20" fillId="0" borderId="62" xfId="0" applyNumberFormat="1" applyFont="1" applyBorder="1"/>
    <xf numFmtId="0" fontId="20" fillId="0" borderId="72" xfId="0" applyFont="1" applyBorder="1"/>
    <xf numFmtId="0" fontId="17" fillId="7" borderId="20" xfId="0" applyFont="1" applyFill="1" applyBorder="1" applyAlignment="1">
      <alignment horizontal="right"/>
    </xf>
    <xf numFmtId="169" fontId="18" fillId="0" borderId="0" xfId="0" applyNumberFormat="1" applyFont="1" applyAlignment="1">
      <alignment vertical="top"/>
    </xf>
    <xf numFmtId="6" fontId="18" fillId="0" borderId="0" xfId="0" applyNumberFormat="1" applyFont="1" applyAlignment="1">
      <alignment vertical="top"/>
    </xf>
    <xf numFmtId="0" fontId="17" fillId="7" borderId="29" xfId="0" applyFont="1" applyFill="1" applyBorder="1" applyAlignment="1">
      <alignment horizontal="center"/>
    </xf>
    <xf numFmtId="0" fontId="17" fillId="7" borderId="13" xfId="0" applyFont="1" applyFill="1" applyBorder="1" applyAlignment="1">
      <alignment horizontal="center"/>
    </xf>
    <xf numFmtId="0" fontId="17" fillId="7" borderId="30" xfId="0" applyFont="1" applyFill="1" applyBorder="1" applyAlignment="1">
      <alignment horizontal="center"/>
    </xf>
    <xf numFmtId="0" fontId="25" fillId="11" borderId="0" xfId="0" applyFont="1" applyFill="1" applyAlignment="1">
      <alignment horizontal="center" vertical="center" wrapText="1"/>
    </xf>
    <xf numFmtId="0" fontId="18" fillId="11" borderId="0" xfId="0" applyFont="1" applyFill="1" applyAlignment="1">
      <alignment horizontal="center" vertical="center" wrapText="1"/>
    </xf>
    <xf numFmtId="0" fontId="14" fillId="3" borderId="23" xfId="4" applyFont="1" applyFill="1" applyBorder="1" applyAlignment="1">
      <alignment horizontal="left" vertical="top" wrapText="1"/>
    </xf>
    <xf numFmtId="0" fontId="14" fillId="3" borderId="24" xfId="4" applyFont="1" applyFill="1" applyBorder="1" applyAlignment="1">
      <alignment horizontal="left" vertical="top" wrapText="1"/>
    </xf>
    <xf numFmtId="0" fontId="14" fillId="3" borderId="25" xfId="4" applyFont="1" applyFill="1" applyBorder="1" applyAlignment="1">
      <alignment horizontal="left" vertical="top" wrapText="1"/>
    </xf>
    <xf numFmtId="0" fontId="15" fillId="6" borderId="27" xfId="4" applyFont="1" applyFill="1" applyBorder="1" applyAlignment="1">
      <alignment horizontal="right" vertical="top" wrapText="1"/>
    </xf>
    <xf numFmtId="0" fontId="15" fillId="6" borderId="28" xfId="4" applyFont="1" applyFill="1" applyBorder="1" applyAlignment="1">
      <alignment horizontal="right" vertical="top" wrapText="1"/>
    </xf>
    <xf numFmtId="0" fontId="8" fillId="0" borderId="0" xfId="3" applyFont="1" applyAlignment="1">
      <alignment horizontal="center"/>
    </xf>
    <xf numFmtId="0" fontId="25" fillId="11" borderId="69" xfId="0" applyFont="1" applyFill="1" applyBorder="1" applyAlignment="1">
      <alignment horizontal="center" vertical="center" wrapText="1"/>
    </xf>
    <xf numFmtId="0" fontId="18" fillId="11" borderId="69" xfId="0" applyFont="1" applyFill="1" applyBorder="1" applyAlignment="1">
      <alignment horizontal="center" vertical="center" wrapText="1"/>
    </xf>
  </cellXfs>
  <cellStyles count="6">
    <cellStyle name="Comma" xfId="5" builtinId="3"/>
    <cellStyle name="Currency" xfId="1" builtinId="4"/>
    <cellStyle name="Normal" xfId="0" builtinId="0"/>
    <cellStyle name="Normal 2" xfId="3" xr:uid="{74DA641A-82E5-4860-900B-FF0DCC0EB8D4}"/>
    <cellStyle name="Normal 3" xfId="4" xr:uid="{B48AAC49-0E25-411A-B986-FF6F9557CD8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h%20Putterman/SafeSync/Grants/Completed%20Grants/2022%20RAISE%20MEDOT%20Sanford%20Streets/BCA/BCA-Sanford%20RAISE%20FY22%20Benefit%20Cost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h%20Putterman/SafeSync/Grants/Completed%20Grants/2022%20INFRA%20MEDOT%20Presque%20Isle%20Bypass/BCA/BCA-Presque%20Isle%20MPDG%20FY22%20Benefit%20Cost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t Cost Ratio Summary"/>
      <sheetName val="Initial Project Cost"/>
      <sheetName val="Project Cost Details"/>
      <sheetName val="Maintenance Costs"/>
      <sheetName val="Property Value Enhancement"/>
      <sheetName val="State Property Valuation Report"/>
      <sheetName val="Safety Benefit"/>
      <sheetName val="Safety Benefit Details"/>
      <sheetName val="Crash Data History"/>
      <sheetName val="Ped Improve Pathway Widening"/>
      <sheetName val="Induced Active Transportation"/>
      <sheetName val="Park &amp; Ride"/>
      <sheetName val="Park &amp; Ride Op Costs"/>
      <sheetName val="Emissions Rates"/>
      <sheetName val="Residual Value"/>
      <sheetName val="Total Benefits"/>
    </sheetNames>
    <sheetDataSet>
      <sheetData sheetId="0" refreshError="1"/>
      <sheetData sheetId="1">
        <row r="4">
          <cell r="B4">
            <v>2022</v>
          </cell>
        </row>
        <row r="5">
          <cell r="B5">
            <v>2023</v>
          </cell>
        </row>
        <row r="6">
          <cell r="B6">
            <v>2024</v>
          </cell>
        </row>
        <row r="7">
          <cell r="B7">
            <v>2025</v>
          </cell>
        </row>
        <row r="8">
          <cell r="B8">
            <v>2026</v>
          </cell>
        </row>
        <row r="9">
          <cell r="B9">
            <v>2027</v>
          </cell>
        </row>
        <row r="10">
          <cell r="B10">
            <v>2028</v>
          </cell>
        </row>
        <row r="11">
          <cell r="B11">
            <v>2029</v>
          </cell>
        </row>
        <row r="12">
          <cell r="B12">
            <v>2030</v>
          </cell>
        </row>
        <row r="13">
          <cell r="B13">
            <v>2031</v>
          </cell>
        </row>
        <row r="14">
          <cell r="B14">
            <v>2032</v>
          </cell>
        </row>
        <row r="15">
          <cell r="B15">
            <v>2033</v>
          </cell>
        </row>
        <row r="16">
          <cell r="B16">
            <v>2034</v>
          </cell>
        </row>
        <row r="17">
          <cell r="B17">
            <v>2035</v>
          </cell>
        </row>
        <row r="18">
          <cell r="B18">
            <v>2036</v>
          </cell>
        </row>
        <row r="19">
          <cell r="B19">
            <v>2037</v>
          </cell>
        </row>
        <row r="20">
          <cell r="B20">
            <v>2038</v>
          </cell>
        </row>
        <row r="21">
          <cell r="B21">
            <v>2039</v>
          </cell>
        </row>
        <row r="22">
          <cell r="B22">
            <v>2040</v>
          </cell>
        </row>
        <row r="23">
          <cell r="B23">
            <v>2041</v>
          </cell>
        </row>
        <row r="24">
          <cell r="B24">
            <v>2042</v>
          </cell>
        </row>
        <row r="25">
          <cell r="B25">
            <v>2043</v>
          </cell>
        </row>
        <row r="26">
          <cell r="B26">
            <v>2044</v>
          </cell>
        </row>
        <row r="27">
          <cell r="B27">
            <v>2045</v>
          </cell>
        </row>
        <row r="28">
          <cell r="B28">
            <v>2046</v>
          </cell>
        </row>
        <row r="29">
          <cell r="B29">
            <v>2047</v>
          </cell>
        </row>
        <row r="30">
          <cell r="B30">
            <v>2048</v>
          </cell>
        </row>
        <row r="31">
          <cell r="B31">
            <v>2049</v>
          </cell>
        </row>
        <row r="32">
          <cell r="B32">
            <v>2050</v>
          </cell>
        </row>
        <row r="33">
          <cell r="B33">
            <v>2051</v>
          </cell>
        </row>
        <row r="34">
          <cell r="B34">
            <v>2052</v>
          </cell>
        </row>
        <row r="35">
          <cell r="B35">
            <v>2053</v>
          </cell>
        </row>
        <row r="36">
          <cell r="B36">
            <v>2054</v>
          </cell>
        </row>
      </sheetData>
      <sheetData sheetId="2"/>
      <sheetData sheetId="3">
        <row r="42">
          <cell r="E42">
            <v>6017220</v>
          </cell>
        </row>
      </sheetData>
      <sheetData sheetId="4">
        <row r="40">
          <cell r="D40">
            <v>31893810.299999997</v>
          </cell>
        </row>
      </sheetData>
      <sheetData sheetId="5" refreshError="1"/>
      <sheetData sheetId="6">
        <row r="40">
          <cell r="C40">
            <v>20423591.578798883</v>
          </cell>
        </row>
      </sheetData>
      <sheetData sheetId="7" refreshError="1"/>
      <sheetData sheetId="8" refreshError="1"/>
      <sheetData sheetId="9">
        <row r="39">
          <cell r="C39">
            <v>1255242.2399999998</v>
          </cell>
        </row>
      </sheetData>
      <sheetData sheetId="10">
        <row r="39">
          <cell r="C39">
            <v>10778768</v>
          </cell>
        </row>
      </sheetData>
      <sheetData sheetId="11">
        <row r="44">
          <cell r="M44">
            <v>47926543.382276714</v>
          </cell>
        </row>
      </sheetData>
      <sheetData sheetId="12" refreshError="1"/>
      <sheetData sheetId="13" refreshError="1"/>
      <sheetData sheetId="14">
        <row r="40">
          <cell r="C40">
            <v>12317293.333333334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t Cost Ratio Summary"/>
      <sheetName val=" Project Cost"/>
      <sheetName val="Project Cost Details"/>
      <sheetName val="Maintenance Costs"/>
      <sheetName val="Property Value Enhancement"/>
      <sheetName val="State Property Valuation Report"/>
      <sheetName val="Safety Benefit"/>
      <sheetName val="Safety Benefit Details"/>
      <sheetName val="Time Savings Util Bypass"/>
      <sheetName val="Time Savings remain US1"/>
      <sheetName val="Time Savings Calculation"/>
      <sheetName val="AADT"/>
      <sheetName val="Emissions Savings Util Bypass"/>
      <sheetName val="Emissions Savings remain US1"/>
      <sheetName val="Emissions Rates"/>
      <sheetName val="Residual Value"/>
      <sheetName val="Total Benefits"/>
    </sheetNames>
    <sheetDataSet>
      <sheetData sheetId="0"/>
      <sheetData sheetId="1">
        <row r="4">
          <cell r="B4">
            <v>2022</v>
          </cell>
        </row>
        <row r="5">
          <cell r="B5">
            <v>2023</v>
          </cell>
        </row>
        <row r="6">
          <cell r="B6">
            <v>2024</v>
          </cell>
        </row>
        <row r="7">
          <cell r="B7">
            <v>2025</v>
          </cell>
        </row>
        <row r="8">
          <cell r="B8">
            <v>2026</v>
          </cell>
        </row>
        <row r="9">
          <cell r="B9">
            <v>2027</v>
          </cell>
        </row>
        <row r="10">
          <cell r="B10">
            <v>2028</v>
          </cell>
        </row>
        <row r="11">
          <cell r="B11">
            <v>2029</v>
          </cell>
        </row>
        <row r="12">
          <cell r="B12">
            <v>2030</v>
          </cell>
        </row>
        <row r="13">
          <cell r="B13">
            <v>2031</v>
          </cell>
        </row>
        <row r="14">
          <cell r="B14">
            <v>2032</v>
          </cell>
        </row>
        <row r="15">
          <cell r="B15">
            <v>2033</v>
          </cell>
        </row>
        <row r="16">
          <cell r="B16">
            <v>2034</v>
          </cell>
        </row>
        <row r="17">
          <cell r="B17">
            <v>2035</v>
          </cell>
        </row>
        <row r="18">
          <cell r="B18">
            <v>2036</v>
          </cell>
        </row>
        <row r="19">
          <cell r="B19">
            <v>2037</v>
          </cell>
        </row>
        <row r="20">
          <cell r="B20">
            <v>2038</v>
          </cell>
        </row>
        <row r="21">
          <cell r="B21">
            <v>2039</v>
          </cell>
        </row>
        <row r="22">
          <cell r="B22">
            <v>2040</v>
          </cell>
        </row>
        <row r="23">
          <cell r="B23">
            <v>2041</v>
          </cell>
        </row>
        <row r="24">
          <cell r="B24">
            <v>2042</v>
          </cell>
        </row>
        <row r="25">
          <cell r="B25">
            <v>2043</v>
          </cell>
        </row>
        <row r="26">
          <cell r="B26">
            <v>2044</v>
          </cell>
        </row>
        <row r="27">
          <cell r="B27">
            <v>2045</v>
          </cell>
        </row>
        <row r="28">
          <cell r="B28">
            <v>2046</v>
          </cell>
        </row>
        <row r="29">
          <cell r="B29">
            <v>2047</v>
          </cell>
        </row>
        <row r="30">
          <cell r="B30">
            <v>2048</v>
          </cell>
        </row>
        <row r="31">
          <cell r="B31">
            <v>2049</v>
          </cell>
        </row>
        <row r="32">
          <cell r="B32">
            <v>2050</v>
          </cell>
        </row>
        <row r="33">
          <cell r="B33">
            <v>2051</v>
          </cell>
        </row>
        <row r="34">
          <cell r="B34">
            <v>2052</v>
          </cell>
        </row>
        <row r="35">
          <cell r="B35">
            <v>2053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31BF0-05E2-469C-AF18-DEC13BD87794}">
  <sheetPr>
    <tabColor rgb="FF00B050"/>
  </sheetPr>
  <dimension ref="A1:D11"/>
  <sheetViews>
    <sheetView tabSelected="1" workbookViewId="0">
      <selection sqref="A1:C1"/>
    </sheetView>
  </sheetViews>
  <sheetFormatPr defaultColWidth="8.6328125" defaultRowHeight="12.5" x14ac:dyDescent="0.25"/>
  <cols>
    <col min="1" max="1" width="32.08984375" style="105" bestFit="1" customWidth="1"/>
    <col min="2" max="2" width="12.54296875" style="105" customWidth="1"/>
    <col min="3" max="3" width="12.36328125" style="105" bestFit="1" customWidth="1"/>
    <col min="4" max="4" width="4.1796875" style="105" bestFit="1" customWidth="1"/>
    <col min="5" max="16384" width="8.6328125" style="105"/>
  </cols>
  <sheetData>
    <row r="1" spans="1:4" ht="15.5" thickBot="1" x14ac:dyDescent="0.4">
      <c r="A1" s="233" t="s">
        <v>180</v>
      </c>
      <c r="B1" s="234"/>
      <c r="C1" s="235"/>
      <c r="D1" s="104"/>
    </row>
    <row r="2" spans="1:4" ht="15" thickBot="1" x14ac:dyDescent="0.4">
      <c r="A2" s="106"/>
      <c r="B2" s="107" t="s">
        <v>181</v>
      </c>
      <c r="C2" s="108" t="s">
        <v>182</v>
      </c>
      <c r="D2" s="109"/>
    </row>
    <row r="3" spans="1:4" ht="14.5" x14ac:dyDescent="0.35">
      <c r="A3" s="110" t="s">
        <v>183</v>
      </c>
      <c r="B3" s="111">
        <f>'Initial Project Cost'!D40</f>
        <v>17074966.533298347</v>
      </c>
      <c r="C3" s="112"/>
      <c r="D3" s="113"/>
    </row>
    <row r="4" spans="1:4" ht="14.5" x14ac:dyDescent="0.35">
      <c r="A4" s="110" t="s">
        <v>243</v>
      </c>
      <c r="B4" s="114"/>
      <c r="C4" s="115">
        <f>'Maintenance Costs'!H38</f>
        <v>1077894.9868648723</v>
      </c>
      <c r="D4" s="113"/>
    </row>
    <row r="5" spans="1:4" ht="14.5" x14ac:dyDescent="0.35">
      <c r="A5" s="116" t="s">
        <v>244</v>
      </c>
      <c r="B5" s="114"/>
      <c r="C5" s="115">
        <f>'User Cost, Time &amp; Crash Savings'!I37</f>
        <v>157858717.11904514</v>
      </c>
      <c r="D5" s="113"/>
    </row>
    <row r="6" spans="1:4" ht="14.5" x14ac:dyDescent="0.35">
      <c r="A6" s="117" t="s">
        <v>201</v>
      </c>
      <c r="B6" s="118"/>
      <c r="C6" s="115">
        <f>'Emissions Savings'!J37</f>
        <v>292554.78690813802</v>
      </c>
      <c r="D6" s="113"/>
    </row>
    <row r="7" spans="1:4" ht="15" thickBot="1" x14ac:dyDescent="0.4">
      <c r="A7" s="119" t="s">
        <v>184</v>
      </c>
      <c r="B7" s="120"/>
      <c r="C7" s="115">
        <f>'Residual Value'!D36</f>
        <v>1782586.0962292063</v>
      </c>
      <c r="D7" s="113"/>
    </row>
    <row r="8" spans="1:4" ht="15" thickBot="1" x14ac:dyDescent="0.4">
      <c r="A8" s="121" t="s">
        <v>185</v>
      </c>
      <c r="B8" s="122">
        <f>SUM(B3:B7)</f>
        <v>17074966.533298347</v>
      </c>
      <c r="C8" s="123">
        <f>SUM(C3:C7)</f>
        <v>161011752.98904735</v>
      </c>
      <c r="D8" s="124"/>
    </row>
    <row r="9" spans="1:4" ht="15" thickBot="1" x14ac:dyDescent="0.4">
      <c r="A9" s="230" t="s">
        <v>186</v>
      </c>
      <c r="B9" s="125"/>
      <c r="C9" s="126"/>
      <c r="D9" s="127">
        <f>C8/B8</f>
        <v>9.4296965487489555</v>
      </c>
    </row>
    <row r="11" spans="1:4" ht="14.5" x14ac:dyDescent="0.25">
      <c r="A11" s="128"/>
    </row>
  </sheetData>
  <mergeCells count="1">
    <mergeCell ref="A1:C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23586-8F97-458F-90F8-410ABAA652C6}">
  <sheetPr>
    <tabColor theme="3" tint="0.59999389629810485"/>
  </sheetPr>
  <dimension ref="A2:I35"/>
  <sheetViews>
    <sheetView workbookViewId="0"/>
  </sheetViews>
  <sheetFormatPr defaultColWidth="10.6328125" defaultRowHeight="12.5" x14ac:dyDescent="0.25"/>
  <cols>
    <col min="1" max="1" width="25.6328125" customWidth="1"/>
    <col min="5" max="5" width="35.6328125" customWidth="1"/>
    <col min="6" max="9" width="15.6328125" customWidth="1"/>
  </cols>
  <sheetData>
    <row r="2" spans="1:9" x14ac:dyDescent="0.25">
      <c r="E2" s="8" t="s">
        <v>112</v>
      </c>
      <c r="G2" s="8"/>
    </row>
    <row r="3" spans="1:9" x14ac:dyDescent="0.25">
      <c r="G3" s="8" t="s">
        <v>108</v>
      </c>
    </row>
    <row r="4" spans="1:9" ht="13" x14ac:dyDescent="0.3">
      <c r="E4" t="s">
        <v>65</v>
      </c>
      <c r="F4" t="s">
        <v>20</v>
      </c>
      <c r="G4" s="14">
        <f>G21</f>
        <v>3.6432281029351699E-2</v>
      </c>
    </row>
    <row r="5" spans="1:9" ht="13" x14ac:dyDescent="0.3">
      <c r="E5" t="s">
        <v>70</v>
      </c>
      <c r="F5" t="s">
        <v>20</v>
      </c>
      <c r="G5" s="14">
        <f>G23</f>
        <v>0.19581096457956468</v>
      </c>
    </row>
    <row r="6" spans="1:9" ht="13" x14ac:dyDescent="0.3">
      <c r="E6" t="s">
        <v>66</v>
      </c>
      <c r="F6" t="s">
        <v>20</v>
      </c>
      <c r="G6" s="14">
        <f>SUM(G15:G17)</f>
        <v>8.753858610025091E-3</v>
      </c>
      <c r="H6" s="8" t="s">
        <v>107</v>
      </c>
    </row>
    <row r="7" spans="1:9" ht="13" x14ac:dyDescent="0.3">
      <c r="E7" t="s">
        <v>67</v>
      </c>
      <c r="F7" t="s">
        <v>20</v>
      </c>
      <c r="G7" s="14">
        <f>G22</f>
        <v>2.2429538425628756E-3</v>
      </c>
    </row>
    <row r="8" spans="1:9" ht="13" x14ac:dyDescent="0.3">
      <c r="E8" t="s">
        <v>65</v>
      </c>
      <c r="F8" t="s">
        <v>19</v>
      </c>
      <c r="G8" s="14">
        <f>G32</f>
        <v>0.1926184710123312</v>
      </c>
    </row>
    <row r="9" spans="1:9" ht="13" x14ac:dyDescent="0.3">
      <c r="E9" t="s">
        <v>70</v>
      </c>
      <c r="F9" t="s">
        <v>19</v>
      </c>
      <c r="G9" s="14">
        <f>G34</f>
        <v>3.5876303775197051</v>
      </c>
    </row>
    <row r="10" spans="1:9" ht="13" x14ac:dyDescent="0.3">
      <c r="E10" t="s">
        <v>66</v>
      </c>
      <c r="F10" t="s">
        <v>19</v>
      </c>
      <c r="G10" s="14">
        <f>SUM(G26:G28)</f>
        <v>0.13760098285564054</v>
      </c>
      <c r="H10" s="8" t="s">
        <v>107</v>
      </c>
    </row>
    <row r="11" spans="1:9" ht="13" x14ac:dyDescent="0.3">
      <c r="E11" t="s">
        <v>67</v>
      </c>
      <c r="F11" t="s">
        <v>19</v>
      </c>
      <c r="G11" s="14">
        <f>G33</f>
        <v>1.13555217375917E-2</v>
      </c>
    </row>
    <row r="12" spans="1:9" x14ac:dyDescent="0.25">
      <c r="F12" s="8" t="s">
        <v>111</v>
      </c>
      <c r="G12" s="15" t="s">
        <v>113</v>
      </c>
    </row>
    <row r="13" spans="1:9" ht="14.5" x14ac:dyDescent="0.35">
      <c r="A13" s="5"/>
      <c r="F13" s="8"/>
      <c r="G13" s="15"/>
    </row>
    <row r="14" spans="1:9" ht="37.5" x14ac:dyDescent="0.25">
      <c r="A14" t="s">
        <v>78</v>
      </c>
      <c r="B14" t="s">
        <v>79</v>
      </c>
      <c r="C14" t="s">
        <v>80</v>
      </c>
      <c r="D14" t="s">
        <v>81</v>
      </c>
      <c r="E14" t="s">
        <v>82</v>
      </c>
      <c r="F14" s="10" t="s">
        <v>83</v>
      </c>
      <c r="G14" s="10" t="s">
        <v>84</v>
      </c>
      <c r="H14" s="10" t="s">
        <v>85</v>
      </c>
      <c r="I14" s="10" t="s">
        <v>86</v>
      </c>
    </row>
    <row r="15" spans="1:9" ht="13" x14ac:dyDescent="0.3">
      <c r="A15" t="s">
        <v>87</v>
      </c>
      <c r="B15">
        <v>23</v>
      </c>
      <c r="C15" t="s">
        <v>88</v>
      </c>
      <c r="D15">
        <v>117</v>
      </c>
      <c r="E15" t="s">
        <v>89</v>
      </c>
      <c r="F15">
        <v>1.2253297599976044E-3</v>
      </c>
      <c r="G15" s="13">
        <v>1.2251925657933128E-3</v>
      </c>
      <c r="H15">
        <v>5.0195498774874343E-2</v>
      </c>
      <c r="I15">
        <v>5.0189140412104989E-2</v>
      </c>
    </row>
    <row r="16" spans="1:9" ht="13" x14ac:dyDescent="0.3">
      <c r="A16" t="s">
        <v>87</v>
      </c>
      <c r="B16">
        <v>23</v>
      </c>
      <c r="C16" t="s">
        <v>88</v>
      </c>
      <c r="D16">
        <v>116</v>
      </c>
      <c r="E16" t="s">
        <v>90</v>
      </c>
      <c r="F16">
        <v>2.149541105837613E-3</v>
      </c>
      <c r="G16" s="13">
        <v>2.1493989613117813E-3</v>
      </c>
      <c r="H16">
        <v>8.8055714850853603E-2</v>
      </c>
      <c r="I16">
        <v>8.8048596835110196E-2</v>
      </c>
    </row>
    <row r="17" spans="1:9" ht="13" x14ac:dyDescent="0.3">
      <c r="A17" t="s">
        <v>87</v>
      </c>
      <c r="B17">
        <v>23</v>
      </c>
      <c r="C17" t="s">
        <v>88</v>
      </c>
      <c r="D17">
        <v>110</v>
      </c>
      <c r="E17" t="s">
        <v>91</v>
      </c>
      <c r="F17">
        <v>7.0148822446137954E-3</v>
      </c>
      <c r="G17" s="13">
        <v>5.3792670829199973E-3</v>
      </c>
      <c r="H17">
        <v>0.28736387918635709</v>
      </c>
      <c r="I17">
        <v>0.22035784290290195</v>
      </c>
    </row>
    <row r="18" spans="1:9" x14ac:dyDescent="0.25">
      <c r="A18" t="s">
        <v>87</v>
      </c>
      <c r="B18">
        <v>23</v>
      </c>
      <c r="C18" t="s">
        <v>88</v>
      </c>
      <c r="D18">
        <v>107</v>
      </c>
      <c r="E18" t="s">
        <v>92</v>
      </c>
      <c r="F18">
        <v>8.1689149735742848E-3</v>
      </c>
      <c r="G18">
        <v>8.1679990663476691E-3</v>
      </c>
      <c r="H18">
        <v>0.33463870293079495</v>
      </c>
      <c r="I18">
        <v>0.33459626141416071</v>
      </c>
    </row>
    <row r="19" spans="1:9" x14ac:dyDescent="0.25">
      <c r="A19" t="s">
        <v>87</v>
      </c>
      <c r="B19">
        <v>23</v>
      </c>
      <c r="C19" t="s">
        <v>88</v>
      </c>
      <c r="D19">
        <v>106</v>
      </c>
      <c r="E19" t="s">
        <v>93</v>
      </c>
      <c r="F19">
        <v>1.7196328846700904E-2</v>
      </c>
      <c r="G19">
        <v>1.7195250043764952E-2</v>
      </c>
      <c r="H19">
        <v>0.70444571880682882</v>
      </c>
      <c r="I19">
        <v>0.70439116508103461</v>
      </c>
    </row>
    <row r="20" spans="1:9" x14ac:dyDescent="0.25">
      <c r="A20" t="s">
        <v>87</v>
      </c>
      <c r="B20">
        <v>23</v>
      </c>
      <c r="C20" t="s">
        <v>88</v>
      </c>
      <c r="D20">
        <v>100</v>
      </c>
      <c r="E20" t="s">
        <v>94</v>
      </c>
      <c r="F20">
        <v>7.9018879789193152E-3</v>
      </c>
      <c r="G20">
        <v>6.0632695337573669E-3</v>
      </c>
      <c r="H20">
        <v>0.32369997148017871</v>
      </c>
      <c r="I20">
        <v>0.24837751589616103</v>
      </c>
    </row>
    <row r="21" spans="1:9" ht="13" x14ac:dyDescent="0.3">
      <c r="A21" t="s">
        <v>87</v>
      </c>
      <c r="B21">
        <v>23</v>
      </c>
      <c r="C21" t="s">
        <v>88</v>
      </c>
      <c r="D21">
        <v>87</v>
      </c>
      <c r="E21" t="s">
        <v>95</v>
      </c>
      <c r="F21">
        <v>5.9909942956386339E-2</v>
      </c>
      <c r="G21" s="13">
        <v>3.6432281029351699E-2</v>
      </c>
      <c r="H21">
        <v>2.4542042203202192</v>
      </c>
      <c r="I21">
        <v>1.4924224315150356</v>
      </c>
    </row>
    <row r="22" spans="1:9" ht="13" x14ac:dyDescent="0.3">
      <c r="A22" t="s">
        <v>87</v>
      </c>
      <c r="B22">
        <v>23</v>
      </c>
      <c r="C22" t="s">
        <v>88</v>
      </c>
      <c r="D22">
        <v>31</v>
      </c>
      <c r="E22" t="s">
        <v>96</v>
      </c>
      <c r="F22">
        <v>2.4337410728990433E-3</v>
      </c>
      <c r="G22" s="13">
        <v>2.2429538425628756E-3</v>
      </c>
      <c r="H22">
        <v>9.9697935226272585E-2</v>
      </c>
      <c r="I22">
        <v>9.1881005880384378E-2</v>
      </c>
    </row>
    <row r="23" spans="1:9" ht="13" x14ac:dyDescent="0.3">
      <c r="A23" t="s">
        <v>87</v>
      </c>
      <c r="B23">
        <v>23</v>
      </c>
      <c r="C23" t="s">
        <v>88</v>
      </c>
      <c r="D23">
        <v>3</v>
      </c>
      <c r="E23" t="s">
        <v>97</v>
      </c>
      <c r="F23">
        <v>0.31439565210881704</v>
      </c>
      <c r="G23" s="13">
        <v>0.19581096457956468</v>
      </c>
      <c r="H23">
        <v>12.87918329045138</v>
      </c>
      <c r="I23">
        <v>8.0212566333604247</v>
      </c>
    </row>
    <row r="24" spans="1:9" ht="14.5" x14ac:dyDescent="0.35">
      <c r="A24" s="11" t="s">
        <v>98</v>
      </c>
    </row>
    <row r="25" spans="1:9" ht="37.5" x14ac:dyDescent="0.25">
      <c r="A25" t="s">
        <v>78</v>
      </c>
      <c r="B25" t="s">
        <v>79</v>
      </c>
      <c r="C25" t="s">
        <v>80</v>
      </c>
      <c r="D25" t="s">
        <v>81</v>
      </c>
      <c r="E25" t="s">
        <v>82</v>
      </c>
      <c r="F25" s="10" t="s">
        <v>83</v>
      </c>
      <c r="G25" s="10" t="s">
        <v>84</v>
      </c>
      <c r="H25" s="10" t="s">
        <v>85</v>
      </c>
      <c r="I25" s="10" t="s">
        <v>86</v>
      </c>
    </row>
    <row r="26" spans="1:9" ht="13" x14ac:dyDescent="0.3">
      <c r="A26" t="s">
        <v>99</v>
      </c>
      <c r="B26">
        <v>23</v>
      </c>
      <c r="C26" t="s">
        <v>88</v>
      </c>
      <c r="D26">
        <v>117</v>
      </c>
      <c r="E26" t="s">
        <v>89</v>
      </c>
      <c r="F26">
        <v>3.3301485860361079E-3</v>
      </c>
      <c r="G26" s="13">
        <v>3.3234373657042029E-3</v>
      </c>
      <c r="H26">
        <v>0.15246694284397608</v>
      </c>
      <c r="I26">
        <v>0.15216342592592594</v>
      </c>
    </row>
    <row r="27" spans="1:9" ht="13" x14ac:dyDescent="0.3">
      <c r="A27" t="s">
        <v>99</v>
      </c>
      <c r="B27">
        <v>23</v>
      </c>
      <c r="C27" t="s">
        <v>88</v>
      </c>
      <c r="D27">
        <v>116</v>
      </c>
      <c r="E27" t="s">
        <v>90</v>
      </c>
      <c r="F27">
        <v>9.8500292911540711E-3</v>
      </c>
      <c r="G27" s="13">
        <v>9.8254723420175844E-3</v>
      </c>
      <c r="H27">
        <v>0.45097202546553106</v>
      </c>
      <c r="I27">
        <v>0.44985879629629627</v>
      </c>
    </row>
    <row r="28" spans="1:9" ht="13" x14ac:dyDescent="0.3">
      <c r="A28" t="s">
        <v>99</v>
      </c>
      <c r="B28">
        <v>23</v>
      </c>
      <c r="C28" t="s">
        <v>88</v>
      </c>
      <c r="D28">
        <v>110</v>
      </c>
      <c r="E28" t="s">
        <v>91</v>
      </c>
      <c r="F28">
        <v>0.19145017840975662</v>
      </c>
      <c r="G28" s="13">
        <v>0.12445207314791876</v>
      </c>
      <c r="H28">
        <v>8.7653216230252884</v>
      </c>
      <c r="I28">
        <v>5.6980324074074078</v>
      </c>
    </row>
    <row r="29" spans="1:9" x14ac:dyDescent="0.25">
      <c r="A29" t="s">
        <v>99</v>
      </c>
      <c r="B29">
        <v>23</v>
      </c>
      <c r="C29" t="s">
        <v>88</v>
      </c>
      <c r="D29">
        <v>107</v>
      </c>
      <c r="E29" t="s">
        <v>92</v>
      </c>
      <c r="F29">
        <v>2.2201097086861587E-2</v>
      </c>
      <c r="G29">
        <v>2.2156367074336041E-2</v>
      </c>
      <c r="H29">
        <v>1.016451162212312</v>
      </c>
      <c r="I29">
        <v>1.0144282407407408</v>
      </c>
    </row>
    <row r="30" spans="1:9" x14ac:dyDescent="0.25">
      <c r="A30" t="s">
        <v>99</v>
      </c>
      <c r="B30">
        <v>23</v>
      </c>
      <c r="C30" t="s">
        <v>88</v>
      </c>
      <c r="D30">
        <v>106</v>
      </c>
      <c r="E30" t="s">
        <v>93</v>
      </c>
      <c r="F30">
        <v>7.8800127815945045E-2</v>
      </c>
      <c r="G30">
        <v>7.8604183203482461E-2</v>
      </c>
      <c r="H30">
        <v>3.607771327138444</v>
      </c>
      <c r="I30">
        <v>3.5988888888888888</v>
      </c>
    </row>
    <row r="31" spans="1:9" x14ac:dyDescent="0.25">
      <c r="A31" t="s">
        <v>99</v>
      </c>
      <c r="B31">
        <v>23</v>
      </c>
      <c r="C31" t="s">
        <v>88</v>
      </c>
      <c r="D31">
        <v>100</v>
      </c>
      <c r="E31" t="s">
        <v>94</v>
      </c>
      <c r="F31">
        <v>0.20822495606326888</v>
      </c>
      <c r="G31">
        <v>0.13536915228701002</v>
      </c>
      <c r="H31">
        <v>9.5333351214147957</v>
      </c>
      <c r="I31">
        <v>6.1978703703703708</v>
      </c>
    </row>
    <row r="32" spans="1:9" ht="13" x14ac:dyDescent="0.3">
      <c r="A32" t="s">
        <v>99</v>
      </c>
      <c r="B32">
        <v>23</v>
      </c>
      <c r="C32" t="s">
        <v>88</v>
      </c>
      <c r="D32">
        <v>87</v>
      </c>
      <c r="E32" t="s">
        <v>95</v>
      </c>
      <c r="F32">
        <v>0.29181711668530647</v>
      </c>
      <c r="G32" s="13">
        <v>0.1926184710123312</v>
      </c>
      <c r="H32">
        <v>13.360504043908779</v>
      </c>
      <c r="I32">
        <v>8.8190277777777784</v>
      </c>
    </row>
    <row r="33" spans="1:9" ht="13" x14ac:dyDescent="0.3">
      <c r="A33" t="s">
        <v>99</v>
      </c>
      <c r="B33">
        <v>23</v>
      </c>
      <c r="C33" t="s">
        <v>88</v>
      </c>
      <c r="D33">
        <v>31</v>
      </c>
      <c r="E33" t="s">
        <v>96</v>
      </c>
      <c r="F33">
        <v>1.1755285721893806E-2</v>
      </c>
      <c r="G33" s="13">
        <v>1.13555217375917E-2</v>
      </c>
      <c r="H33">
        <v>0.53820195404793192</v>
      </c>
      <c r="I33">
        <v>0.51991203703703703</v>
      </c>
    </row>
    <row r="34" spans="1:9" ht="13" x14ac:dyDescent="0.3">
      <c r="A34" t="s">
        <v>99</v>
      </c>
      <c r="B34">
        <v>23</v>
      </c>
      <c r="C34" t="s">
        <v>88</v>
      </c>
      <c r="D34">
        <v>3</v>
      </c>
      <c r="E34" t="s">
        <v>97</v>
      </c>
      <c r="F34">
        <v>5.130958087021356</v>
      </c>
      <c r="G34" s="13">
        <v>3.5876303775197051</v>
      </c>
      <c r="H34">
        <v>234.91489138624266</v>
      </c>
      <c r="I34">
        <v>164.25949074074074</v>
      </c>
    </row>
    <row r="35" spans="1:9" ht="14.5" x14ac:dyDescent="0.35">
      <c r="A35" s="11" t="s">
        <v>100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B3E4E-6D1A-4742-9740-F486D21C0EBA}">
  <sheetPr>
    <tabColor rgb="FF00B050"/>
  </sheetPr>
  <dimension ref="A1:HM37"/>
  <sheetViews>
    <sheetView workbookViewId="0"/>
  </sheetViews>
  <sheetFormatPr defaultColWidth="9" defaultRowHeight="15" x14ac:dyDescent="0.25"/>
  <cols>
    <col min="1" max="1" width="5.1796875" style="129" customWidth="1"/>
    <col min="2" max="2" width="7.453125" style="129" customWidth="1"/>
    <col min="3" max="3" width="13.81640625" style="129" customWidth="1"/>
    <col min="4" max="6" width="9" style="140"/>
    <col min="7" max="7" width="10.54296875" style="140" customWidth="1"/>
    <col min="8" max="8" width="9" style="140"/>
    <col min="9" max="9" width="14.6328125" style="140" bestFit="1" customWidth="1"/>
    <col min="10" max="10" width="12.81640625" style="140" bestFit="1" customWidth="1"/>
    <col min="11" max="13" width="9" style="140"/>
    <col min="14" max="221" width="9" style="129"/>
    <col min="222" max="16384" width="9" style="105"/>
  </cols>
  <sheetData>
    <row r="1" spans="1:221" x14ac:dyDescent="0.25">
      <c r="A1" s="140" t="s">
        <v>217</v>
      </c>
    </row>
    <row r="2" spans="1:221" x14ac:dyDescent="0.25"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</row>
    <row r="3" spans="1:221" ht="58" x14ac:dyDescent="0.35">
      <c r="A3" s="157" t="s">
        <v>4</v>
      </c>
      <c r="B3" s="166" t="s">
        <v>205</v>
      </c>
      <c r="C3" s="157" t="s">
        <v>5</v>
      </c>
      <c r="D3" s="178" t="s">
        <v>218</v>
      </c>
      <c r="E3" s="178" t="s">
        <v>219</v>
      </c>
      <c r="F3" s="178" t="s">
        <v>220</v>
      </c>
      <c r="G3" s="178" t="s">
        <v>221</v>
      </c>
      <c r="H3" s="178" t="s">
        <v>222</v>
      </c>
      <c r="I3" s="178" t="s">
        <v>223</v>
      </c>
      <c r="J3" s="178" t="s">
        <v>214</v>
      </c>
      <c r="K3" s="164"/>
      <c r="L3" s="164"/>
      <c r="M3" s="164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</row>
    <row r="4" spans="1:221" ht="14.5" x14ac:dyDescent="0.35">
      <c r="A4" s="158">
        <v>0</v>
      </c>
      <c r="B4" s="165"/>
      <c r="C4" s="172">
        <f>'[1]Initial Project Cost'!B4</f>
        <v>2022</v>
      </c>
      <c r="D4" s="186"/>
      <c r="E4" s="186"/>
      <c r="F4" s="186"/>
      <c r="G4" s="186"/>
      <c r="H4" s="186"/>
      <c r="I4" s="186"/>
      <c r="J4" s="182">
        <f>I4/(1+0.07)^B4</f>
        <v>0</v>
      </c>
      <c r="K4" s="164"/>
      <c r="L4" s="164"/>
      <c r="M4" s="164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</row>
    <row r="5" spans="1:221" ht="14.5" x14ac:dyDescent="0.35">
      <c r="A5" s="158">
        <v>1</v>
      </c>
      <c r="B5" s="165"/>
      <c r="C5" s="172">
        <f>'[1]Initial Project Cost'!B5</f>
        <v>2023</v>
      </c>
      <c r="D5" s="186"/>
      <c r="E5" s="186"/>
      <c r="F5" s="186"/>
      <c r="G5" s="186"/>
      <c r="H5" s="186"/>
      <c r="I5" s="186"/>
      <c r="J5" s="182">
        <f t="shared" ref="J5:J36" si="0">I5/(1+0.07)^B5</f>
        <v>0</v>
      </c>
      <c r="K5" s="164"/>
      <c r="L5" s="164"/>
      <c r="M5" s="164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</row>
    <row r="6" spans="1:221" ht="14.5" x14ac:dyDescent="0.35">
      <c r="A6" s="158">
        <v>2</v>
      </c>
      <c r="B6" s="165"/>
      <c r="C6" s="172">
        <f>'[1]Initial Project Cost'!B6</f>
        <v>2024</v>
      </c>
      <c r="D6" s="186"/>
      <c r="E6" s="186"/>
      <c r="F6" s="186"/>
      <c r="G6" s="186"/>
      <c r="H6" s="186"/>
      <c r="I6" s="186"/>
      <c r="J6" s="182">
        <f t="shared" si="0"/>
        <v>0</v>
      </c>
      <c r="K6" s="164"/>
      <c r="L6" s="164"/>
      <c r="M6" s="164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</row>
    <row r="7" spans="1:221" ht="14.5" x14ac:dyDescent="0.35">
      <c r="A7" s="158">
        <v>3</v>
      </c>
      <c r="B7" s="165">
        <v>1</v>
      </c>
      <c r="C7" s="172">
        <f>'[1]Initial Project Cost'!B7</f>
        <v>2025</v>
      </c>
      <c r="D7" s="187">
        <f>'User Cost, Time &amp; Crash Savings'!H7/'VMT, VHT, and User Costs'!P20</f>
        <v>0.1153846153846154</v>
      </c>
      <c r="E7" s="188">
        <f>Emissions!J20*'Emissions Savings'!$D7</f>
        <v>190.1488483583548</v>
      </c>
      <c r="F7" s="188">
        <f>Emissions!K20*'Emissions Savings'!$D7</f>
        <v>5461.4415214931423</v>
      </c>
      <c r="G7" s="188">
        <f>Emissions!L20*'Emissions Savings'!$D7</f>
        <v>10482.512458422036</v>
      </c>
      <c r="H7" s="188">
        <f>Emissions!M20*'Emissions Savings'!$D7</f>
        <v>277.81880662988607</v>
      </c>
      <c r="I7" s="188">
        <f>SUM(E7:H7)</f>
        <v>16411.921634903418</v>
      </c>
      <c r="J7" s="182">
        <f t="shared" si="0"/>
        <v>15338.244518601325</v>
      </c>
      <c r="K7" s="164"/>
      <c r="L7" s="164"/>
      <c r="M7" s="164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</row>
    <row r="8" spans="1:221" ht="14.5" x14ac:dyDescent="0.35">
      <c r="A8" s="158">
        <v>4</v>
      </c>
      <c r="B8" s="165">
        <v>2</v>
      </c>
      <c r="C8" s="172">
        <f>'[1]Initial Project Cost'!B8</f>
        <v>2026</v>
      </c>
      <c r="D8" s="187">
        <f>'User Cost, Time &amp; Crash Savings'!H8/'VMT, VHT, and User Costs'!P21</f>
        <v>0</v>
      </c>
      <c r="E8" s="188">
        <f>Emissions!J21*'Emissions Savings'!$D8</f>
        <v>0</v>
      </c>
      <c r="F8" s="188">
        <f>Emissions!K21*'Emissions Savings'!$D8</f>
        <v>0</v>
      </c>
      <c r="G8" s="188">
        <f>Emissions!L21*'Emissions Savings'!$D8</f>
        <v>0</v>
      </c>
      <c r="H8" s="188">
        <f>Emissions!M21*'Emissions Savings'!$D8</f>
        <v>0</v>
      </c>
      <c r="I8" s="188">
        <f t="shared" ref="I8:I36" si="1">SUM(E8:H8)</f>
        <v>0</v>
      </c>
      <c r="J8" s="182">
        <f t="shared" si="0"/>
        <v>0</v>
      </c>
      <c r="K8" s="164"/>
      <c r="L8" s="164"/>
      <c r="M8" s="164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</row>
    <row r="9" spans="1:221" ht="14.5" x14ac:dyDescent="0.35">
      <c r="A9" s="158">
        <v>5</v>
      </c>
      <c r="B9" s="165">
        <v>3</v>
      </c>
      <c r="C9" s="172">
        <f>'[1]Initial Project Cost'!B9</f>
        <v>2027</v>
      </c>
      <c r="D9" s="187">
        <f>'User Cost, Time &amp; Crash Savings'!H9/'VMT, VHT, and User Costs'!P22</f>
        <v>0</v>
      </c>
      <c r="E9" s="188">
        <f>Emissions!J22*'Emissions Savings'!$D9</f>
        <v>0</v>
      </c>
      <c r="F9" s="188">
        <f>Emissions!K22*'Emissions Savings'!$D9</f>
        <v>0</v>
      </c>
      <c r="G9" s="188">
        <f>Emissions!L22*'Emissions Savings'!$D9</f>
        <v>0</v>
      </c>
      <c r="H9" s="188">
        <f>Emissions!M22*'Emissions Savings'!$D9</f>
        <v>0</v>
      </c>
      <c r="I9" s="188">
        <f t="shared" si="1"/>
        <v>0</v>
      </c>
      <c r="J9" s="182">
        <f t="shared" si="0"/>
        <v>0</v>
      </c>
      <c r="K9" s="164"/>
      <c r="L9" s="164"/>
      <c r="M9" s="164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</row>
    <row r="10" spans="1:221" ht="14.5" x14ac:dyDescent="0.35">
      <c r="A10" s="158">
        <v>6</v>
      </c>
      <c r="B10" s="165">
        <v>4</v>
      </c>
      <c r="C10" s="172">
        <f>'[1]Initial Project Cost'!B10</f>
        <v>2028</v>
      </c>
      <c r="D10" s="187">
        <f>'User Cost, Time &amp; Crash Savings'!H10/'VMT, VHT, and User Costs'!P23</f>
        <v>0</v>
      </c>
      <c r="E10" s="188">
        <f>Emissions!J23*'Emissions Savings'!$D10</f>
        <v>0</v>
      </c>
      <c r="F10" s="188">
        <f>Emissions!K23*'Emissions Savings'!$D10</f>
        <v>0</v>
      </c>
      <c r="G10" s="188">
        <f>Emissions!L23*'Emissions Savings'!$D10</f>
        <v>0</v>
      </c>
      <c r="H10" s="188">
        <f>Emissions!M23*'Emissions Savings'!$D10</f>
        <v>0</v>
      </c>
      <c r="I10" s="188">
        <f t="shared" si="1"/>
        <v>0</v>
      </c>
      <c r="J10" s="182">
        <f t="shared" si="0"/>
        <v>0</v>
      </c>
      <c r="K10" s="164"/>
      <c r="L10" s="164"/>
      <c r="M10" s="164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</row>
    <row r="11" spans="1:221" ht="14.5" x14ac:dyDescent="0.35">
      <c r="A11" s="158">
        <v>7</v>
      </c>
      <c r="B11" s="165">
        <v>5</v>
      </c>
      <c r="C11" s="172">
        <f>'[1]Initial Project Cost'!B11</f>
        <v>2029</v>
      </c>
      <c r="D11" s="187">
        <f>'User Cost, Time &amp; Crash Savings'!H11/'VMT, VHT, and User Costs'!P24</f>
        <v>0.5</v>
      </c>
      <c r="E11" s="188">
        <f>Emissions!J24*'Emissions Savings'!$D11</f>
        <v>839.770799357123</v>
      </c>
      <c r="F11" s="188">
        <f>Emissions!K24*'Emissions Savings'!$D11</f>
        <v>24119.836389979177</v>
      </c>
      <c r="G11" s="188">
        <f>Emissions!L24*'Emissions Savings'!$D11</f>
        <v>46294.826092715026</v>
      </c>
      <c r="H11" s="188">
        <f>Emissions!M24*'Emissions Savings'!$D11</f>
        <v>1226.9552160544049</v>
      </c>
      <c r="I11" s="188">
        <f t="shared" si="1"/>
        <v>72481.388498105734</v>
      </c>
      <c r="J11" s="182">
        <f t="shared" si="0"/>
        <v>51678.228268935913</v>
      </c>
      <c r="K11" s="164"/>
      <c r="L11" s="164"/>
      <c r="M11" s="164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</row>
    <row r="12" spans="1:221" ht="14.5" x14ac:dyDescent="0.35">
      <c r="A12" s="158">
        <v>8</v>
      </c>
      <c r="B12" s="165">
        <v>6</v>
      </c>
      <c r="C12" s="172">
        <f>'[1]Initial Project Cost'!B12</f>
        <v>2030</v>
      </c>
      <c r="D12" s="187">
        <f>'User Cost, Time &amp; Crash Savings'!H12/'VMT, VHT, and User Costs'!P25</f>
        <v>0</v>
      </c>
      <c r="E12" s="188">
        <f>Emissions!J25*'Emissions Savings'!$D12</f>
        <v>0</v>
      </c>
      <c r="F12" s="188">
        <f>Emissions!K25*'Emissions Savings'!$D12</f>
        <v>0</v>
      </c>
      <c r="G12" s="188">
        <f>Emissions!L25*'Emissions Savings'!$D12</f>
        <v>0</v>
      </c>
      <c r="H12" s="188">
        <f>Emissions!M25*'Emissions Savings'!$D12</f>
        <v>0</v>
      </c>
      <c r="I12" s="188">
        <f t="shared" si="1"/>
        <v>0</v>
      </c>
      <c r="J12" s="182">
        <f t="shared" si="0"/>
        <v>0</v>
      </c>
      <c r="K12" s="164"/>
      <c r="L12" s="164"/>
      <c r="M12" s="164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</row>
    <row r="13" spans="1:221" ht="14.5" x14ac:dyDescent="0.35">
      <c r="A13" s="158">
        <v>9</v>
      </c>
      <c r="B13" s="165">
        <v>7</v>
      </c>
      <c r="C13" s="172">
        <f>'[1]Initial Project Cost'!B13</f>
        <v>2031</v>
      </c>
      <c r="D13" s="187">
        <f>'User Cost, Time &amp; Crash Savings'!H13/'VMT, VHT, and User Costs'!P26</f>
        <v>0</v>
      </c>
      <c r="E13" s="188">
        <f>Emissions!J26*'Emissions Savings'!$D13</f>
        <v>0</v>
      </c>
      <c r="F13" s="188">
        <f>Emissions!K26*'Emissions Savings'!$D13</f>
        <v>0</v>
      </c>
      <c r="G13" s="188">
        <f>Emissions!L26*'Emissions Savings'!$D13</f>
        <v>0</v>
      </c>
      <c r="H13" s="188">
        <f>Emissions!M26*'Emissions Savings'!$D13</f>
        <v>0</v>
      </c>
      <c r="I13" s="188">
        <f t="shared" si="1"/>
        <v>0</v>
      </c>
      <c r="J13" s="182">
        <f t="shared" si="0"/>
        <v>0</v>
      </c>
      <c r="K13" s="164"/>
      <c r="L13" s="164"/>
      <c r="M13" s="164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</row>
    <row r="14" spans="1:221" ht="14.5" x14ac:dyDescent="0.35">
      <c r="A14" s="158">
        <v>10</v>
      </c>
      <c r="B14" s="165">
        <v>8</v>
      </c>
      <c r="C14" s="172">
        <f>'[1]Initial Project Cost'!B14</f>
        <v>2032</v>
      </c>
      <c r="D14" s="187">
        <f>'User Cost, Time &amp; Crash Savings'!H14/'VMT, VHT, and User Costs'!P27</f>
        <v>0</v>
      </c>
      <c r="E14" s="188">
        <f>Emissions!J27*'Emissions Savings'!$D14</f>
        <v>0</v>
      </c>
      <c r="F14" s="188">
        <f>Emissions!K27*'Emissions Savings'!$D14</f>
        <v>0</v>
      </c>
      <c r="G14" s="188">
        <f>Emissions!L27*'Emissions Savings'!$D14</f>
        <v>0</v>
      </c>
      <c r="H14" s="188">
        <f>Emissions!M27*'Emissions Savings'!$D14</f>
        <v>0</v>
      </c>
      <c r="I14" s="188">
        <f t="shared" si="1"/>
        <v>0</v>
      </c>
      <c r="J14" s="182">
        <f t="shared" si="0"/>
        <v>0</v>
      </c>
      <c r="K14" s="164"/>
      <c r="L14" s="164"/>
      <c r="M14" s="164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</row>
    <row r="15" spans="1:221" ht="14.5" x14ac:dyDescent="0.35">
      <c r="A15" s="158">
        <v>11</v>
      </c>
      <c r="B15" s="165">
        <v>9</v>
      </c>
      <c r="C15" s="172">
        <f>'[1]Initial Project Cost'!B15</f>
        <v>2033</v>
      </c>
      <c r="D15" s="187">
        <f>'User Cost, Time &amp; Crash Savings'!H15/'VMT, VHT, and User Costs'!P28</f>
        <v>0.11538461538461539</v>
      </c>
      <c r="E15" s="188">
        <f>Emissions!J28*'Emissions Savings'!$D15</f>
        <v>197.43767442185592</v>
      </c>
      <c r="F15" s="188">
        <f>Emissions!K28*'Emissions Savings'!$D15</f>
        <v>5670.7906584972498</v>
      </c>
      <c r="G15" s="188">
        <f>Emissions!L28*'Emissions Savings'!$D15</f>
        <v>10884.330353600284</v>
      </c>
      <c r="H15" s="188">
        <f>Emissions!M28*'Emissions Savings'!$D15</f>
        <v>288.46821616445465</v>
      </c>
      <c r="I15" s="188">
        <f t="shared" si="1"/>
        <v>17041.026902683847</v>
      </c>
      <c r="J15" s="182">
        <f t="shared" si="0"/>
        <v>9269.189540653977</v>
      </c>
      <c r="K15" s="164"/>
      <c r="L15" s="164"/>
      <c r="M15" s="164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</row>
    <row r="16" spans="1:221" ht="14.5" x14ac:dyDescent="0.35">
      <c r="A16" s="158">
        <v>12</v>
      </c>
      <c r="B16" s="165">
        <v>10</v>
      </c>
      <c r="C16" s="172">
        <f>'[1]Initial Project Cost'!B16</f>
        <v>2034</v>
      </c>
      <c r="D16" s="187">
        <f>'User Cost, Time &amp; Crash Savings'!H16/'VMT, VHT, and User Costs'!P29</f>
        <v>1.5265679211465278E-2</v>
      </c>
      <c r="E16" s="188">
        <f>Emissions!J29*'Emissions Savings'!$D16</f>
        <v>26.239934944973466</v>
      </c>
      <c r="F16" s="188">
        <f>Emissions!K29*'Emissions Savings'!$D16</f>
        <v>753.66152078753976</v>
      </c>
      <c r="G16" s="188">
        <f>Emissions!L29*'Emissions Savings'!$D16</f>
        <v>1446.5533046536723</v>
      </c>
      <c r="H16" s="188">
        <f>Emissions!M29*'Emissions Savings'!$D16</f>
        <v>38.338109725070375</v>
      </c>
      <c r="I16" s="188">
        <f t="shared" si="1"/>
        <v>2264.792870111256</v>
      </c>
      <c r="J16" s="182">
        <f t="shared" si="0"/>
        <v>1151.3058523528127</v>
      </c>
      <c r="K16" s="164"/>
      <c r="L16" s="164"/>
      <c r="M16" s="164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</row>
    <row r="17" spans="1:221" ht="14.5" x14ac:dyDescent="0.35">
      <c r="A17" s="158">
        <v>13</v>
      </c>
      <c r="B17" s="165">
        <v>11</v>
      </c>
      <c r="C17" s="172">
        <f>'[1]Initial Project Cost'!B17</f>
        <v>2035</v>
      </c>
      <c r="D17" s="187">
        <f>'User Cost, Time &amp; Crash Savings'!H17/'VMT, VHT, and User Costs'!P30</f>
        <v>1.5265679211465275E-2</v>
      </c>
      <c r="E17" s="188">
        <f>Emissions!J30*'Emissions Savings'!$D17</f>
        <v>26.366820510471399</v>
      </c>
      <c r="F17" s="188">
        <f>Emissions!K30*'Emissions Savings'!$D17</f>
        <v>757.30591885711169</v>
      </c>
      <c r="G17" s="188">
        <f>Emissions!L30*'Emissions Savings'!$D17</f>
        <v>1453.5482432641827</v>
      </c>
      <c r="H17" s="188">
        <f>Emissions!M30*'Emissions Savings'!$D17</f>
        <v>38.523497102851174</v>
      </c>
      <c r="I17" s="188">
        <f t="shared" si="1"/>
        <v>2275.744479734617</v>
      </c>
      <c r="J17" s="182">
        <f t="shared" si="0"/>
        <v>1081.1898087407328</v>
      </c>
      <c r="K17" s="164"/>
      <c r="L17" s="164"/>
      <c r="M17" s="164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</row>
    <row r="18" spans="1:221" ht="14.5" x14ac:dyDescent="0.35">
      <c r="A18" s="158">
        <v>14</v>
      </c>
      <c r="B18" s="165">
        <v>12</v>
      </c>
      <c r="C18" s="172">
        <f>'[1]Initial Project Cost'!B18</f>
        <v>2036</v>
      </c>
      <c r="D18" s="187">
        <f>'User Cost, Time &amp; Crash Savings'!H18/'VMT, VHT, and User Costs'!P31</f>
        <v>1.5265679211465282E-2</v>
      </c>
      <c r="E18" s="188">
        <f>Emissions!J31*'Emissions Savings'!$D18</f>
        <v>26.485247038269481</v>
      </c>
      <c r="F18" s="188">
        <f>Emissions!K31*'Emissions Savings'!$D18</f>
        <v>760.70735705537936</v>
      </c>
      <c r="G18" s="188">
        <f>Emissions!L31*'Emissions Savings'!$D18</f>
        <v>1460.0768526339934</v>
      </c>
      <c r="H18" s="188">
        <f>Emissions!M31*'Emissions Savings'!$D18</f>
        <v>38.696525322113274</v>
      </c>
      <c r="I18" s="188">
        <f t="shared" si="1"/>
        <v>2285.9659820497554</v>
      </c>
      <c r="J18" s="182">
        <f t="shared" si="0"/>
        <v>1014.9962344475834</v>
      </c>
      <c r="K18" s="164"/>
      <c r="L18" s="164"/>
      <c r="M18" s="164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</row>
    <row r="19" spans="1:221" ht="14.5" x14ac:dyDescent="0.35">
      <c r="A19" s="158">
        <v>15</v>
      </c>
      <c r="B19" s="165">
        <v>13</v>
      </c>
      <c r="C19" s="172">
        <f>'[1]Initial Project Cost'!B19</f>
        <v>2037</v>
      </c>
      <c r="D19" s="187">
        <f>'User Cost, Time &amp; Crash Savings'!H19/'VMT, VHT, and User Costs'!P32</f>
        <v>0.5</v>
      </c>
      <c r="E19" s="188">
        <f>Emissions!J32*'Emissions Savings'!$D19</f>
        <v>871.35571229896152</v>
      </c>
      <c r="F19" s="188">
        <f>Emissions!K32*'Emissions Savings'!$D19</f>
        <v>25027.015983663645</v>
      </c>
      <c r="G19" s="188">
        <f>Emissions!L32*'Emissions Savings'!$D19</f>
        <v>48036.036971820766</v>
      </c>
      <c r="H19" s="188">
        <f>Emissions!M32*'Emissions Savings'!$D19</f>
        <v>1273.1026573708689</v>
      </c>
      <c r="I19" s="188">
        <f t="shared" si="1"/>
        <v>75207.511325154235</v>
      </c>
      <c r="J19" s="182">
        <f t="shared" si="0"/>
        <v>31208.443414113568</v>
      </c>
      <c r="K19" s="164"/>
      <c r="L19" s="164"/>
      <c r="M19" s="164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</row>
    <row r="20" spans="1:221" ht="14.5" x14ac:dyDescent="0.35">
      <c r="A20" s="158">
        <v>16</v>
      </c>
      <c r="B20" s="165">
        <v>14</v>
      </c>
      <c r="C20" s="172">
        <f>'[1]Initial Project Cost'!B20</f>
        <v>2038</v>
      </c>
      <c r="D20" s="187">
        <f>'User Cost, Time &amp; Crash Savings'!H20/'VMT, VHT, and User Costs'!P33</f>
        <v>1.5265679211465278E-2</v>
      </c>
      <c r="E20" s="188">
        <f>Emissions!J33*'Emissions Savings'!$D20</f>
        <v>26.730559131565492</v>
      </c>
      <c r="F20" s="188">
        <f>Emissions!K33*'Emissions Savings'!$D20</f>
        <v>767.75319332321897</v>
      </c>
      <c r="G20" s="188">
        <f>Emissions!L33*'Emissions Savings'!$D20</f>
        <v>1473.6004006143144</v>
      </c>
      <c r="H20" s="188">
        <f>Emissions!M33*'Emissions Savings'!$D20</f>
        <v>39.054940919156159</v>
      </c>
      <c r="I20" s="188">
        <f t="shared" si="1"/>
        <v>2307.1390939882549</v>
      </c>
      <c r="J20" s="182">
        <f t="shared" si="0"/>
        <v>894.74831807373562</v>
      </c>
      <c r="K20" s="164"/>
      <c r="L20" s="164"/>
      <c r="M20" s="164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105"/>
      <c r="FD20" s="105"/>
      <c r="FE20" s="105"/>
      <c r="FF20" s="105"/>
      <c r="FG20" s="105"/>
      <c r="FH20" s="105"/>
      <c r="FI20" s="105"/>
      <c r="FJ20" s="105"/>
      <c r="FK20" s="105"/>
      <c r="FL20" s="105"/>
      <c r="FM20" s="105"/>
      <c r="FN20" s="105"/>
      <c r="FO20" s="105"/>
      <c r="FP20" s="105"/>
      <c r="FQ20" s="105"/>
      <c r="FR20" s="105"/>
      <c r="FS20" s="105"/>
      <c r="FT20" s="105"/>
      <c r="FU20" s="105"/>
      <c r="FV20" s="105"/>
      <c r="FW20" s="105"/>
      <c r="FX20" s="105"/>
      <c r="FY20" s="105"/>
      <c r="FZ20" s="105"/>
      <c r="GA20" s="105"/>
      <c r="GB20" s="105"/>
      <c r="GC20" s="105"/>
      <c r="GD20" s="105"/>
      <c r="GE20" s="105"/>
      <c r="GF20" s="105"/>
      <c r="GG20" s="105"/>
      <c r="GH20" s="105"/>
      <c r="GI20" s="105"/>
      <c r="GJ20" s="105"/>
      <c r="GK20" s="105"/>
      <c r="GL20" s="105"/>
      <c r="GM20" s="105"/>
      <c r="GN20" s="105"/>
      <c r="GO20" s="105"/>
      <c r="GP20" s="105"/>
      <c r="GQ20" s="105"/>
      <c r="GR20" s="105"/>
      <c r="GS20" s="105"/>
      <c r="GT20" s="105"/>
      <c r="GU20" s="105"/>
      <c r="GV20" s="105"/>
      <c r="GW20" s="105"/>
      <c r="GX20" s="105"/>
      <c r="GY20" s="105"/>
      <c r="GZ20" s="105"/>
      <c r="HA20" s="105"/>
      <c r="HB20" s="105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</row>
    <row r="21" spans="1:221" ht="14.5" x14ac:dyDescent="0.35">
      <c r="A21" s="158">
        <v>17</v>
      </c>
      <c r="B21" s="165">
        <v>15</v>
      </c>
      <c r="C21" s="172">
        <f>'[1]Initial Project Cost'!B21</f>
        <v>2039</v>
      </c>
      <c r="D21" s="187">
        <f>'User Cost, Time &amp; Crash Savings'!H21/'VMT, VHT, and User Costs'!P34</f>
        <v>3.0531358422930557E-2</v>
      </c>
      <c r="E21" s="188">
        <f>Emissions!J34*'Emissions Savings'!$D21</f>
        <v>53.697971318727127</v>
      </c>
      <c r="F21" s="188">
        <f>Emissions!K34*'Emissions Savings'!$D21</f>
        <v>1542.3092630429728</v>
      </c>
      <c r="G21" s="188">
        <f>Emissions!L34*'Emissions Savings'!$D21</f>
        <v>2960.2580199682493</v>
      </c>
      <c r="H21" s="188">
        <f>Emissions!M34*'Emissions Savings'!$D21</f>
        <v>78.455938276836463</v>
      </c>
      <c r="I21" s="188">
        <f t="shared" si="1"/>
        <v>4634.7211926067857</v>
      </c>
      <c r="J21" s="182">
        <f t="shared" si="0"/>
        <v>1679.8362484124198</v>
      </c>
      <c r="K21" s="164"/>
      <c r="L21" s="164"/>
      <c r="M21" s="164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</row>
    <row r="22" spans="1:221" ht="14.5" x14ac:dyDescent="0.35">
      <c r="A22" s="158">
        <v>18</v>
      </c>
      <c r="B22" s="165">
        <v>16</v>
      </c>
      <c r="C22" s="172">
        <f>'[1]Initial Project Cost'!B22</f>
        <v>2040</v>
      </c>
      <c r="D22" s="187">
        <f>'User Cost, Time &amp; Crash Savings'!H22/'VMT, VHT, and User Costs'!P35</f>
        <v>3.0531358422930557E-2</v>
      </c>
      <c r="E22" s="188">
        <f>Emissions!J35*'Emissions Savings'!$D22</f>
        <v>53.934824374323277</v>
      </c>
      <c r="F22" s="188">
        <f>Emissions!K35*'Emissions Savings'!$D22</f>
        <v>1549.1121394395072</v>
      </c>
      <c r="G22" s="188">
        <f>Emissions!L35*'Emissions Savings'!$D22</f>
        <v>2973.3152387078703</v>
      </c>
      <c r="H22" s="188">
        <f>Emissions!M35*'Emissions Savings'!$D22</f>
        <v>78.801994715360635</v>
      </c>
      <c r="I22" s="188">
        <f t="shared" si="1"/>
        <v>4655.1641972370617</v>
      </c>
      <c r="J22" s="182">
        <f t="shared" si="0"/>
        <v>1576.8651720282185</v>
      </c>
      <c r="K22" s="164"/>
      <c r="L22" s="164"/>
      <c r="M22" s="164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</row>
    <row r="23" spans="1:221" ht="14.5" x14ac:dyDescent="0.35">
      <c r="A23" s="158">
        <v>19</v>
      </c>
      <c r="B23" s="165">
        <v>17</v>
      </c>
      <c r="C23" s="172">
        <f>'[1]Initial Project Cost'!B23</f>
        <v>2041</v>
      </c>
      <c r="D23" s="187">
        <f>'User Cost, Time &amp; Crash Savings'!H23/'VMT, VHT, and User Costs'!P36</f>
        <v>0.11538461538461539</v>
      </c>
      <c r="E23" s="188">
        <f>Emissions!J36*'Emissions Savings'!$D23</f>
        <v>204.72650048535709</v>
      </c>
      <c r="F23" s="188">
        <f>Emissions!K36*'Emissions Savings'!$D23</f>
        <v>5880.139795501359</v>
      </c>
      <c r="G23" s="188">
        <f>Emissions!L36*'Emissions Savings'!$D23</f>
        <v>11286.148248778534</v>
      </c>
      <c r="H23" s="188">
        <f>Emissions!M36*'Emissions Savings'!$D23</f>
        <v>299.11762569902328</v>
      </c>
      <c r="I23" s="188">
        <f t="shared" si="1"/>
        <v>17670.132170464272</v>
      </c>
      <c r="J23" s="182">
        <f t="shared" si="0"/>
        <v>5593.9113212849907</v>
      </c>
      <c r="K23" s="164"/>
      <c r="L23" s="164"/>
      <c r="M23" s="164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  <c r="HK23" s="105"/>
      <c r="HL23" s="105"/>
      <c r="HM23" s="105"/>
    </row>
    <row r="24" spans="1:221" ht="14.5" x14ac:dyDescent="0.35">
      <c r="A24" s="158">
        <v>20</v>
      </c>
      <c r="B24" s="165">
        <v>18</v>
      </c>
      <c r="C24" s="172">
        <f>'[1]Initial Project Cost'!B24</f>
        <v>2042</v>
      </c>
      <c r="D24" s="187">
        <f>'User Cost, Time &amp; Crash Savings'!H24/'VMT, VHT, and User Costs'!P37</f>
        <v>3.0531358422930564E-2</v>
      </c>
      <c r="E24" s="188">
        <f>Emissions!J37*'Emissions Savings'!$D24</f>
        <v>54.425448560915328</v>
      </c>
      <c r="F24" s="188">
        <f>Emissions!K37*'Emissions Savings'!$D24</f>
        <v>1563.2038119751878</v>
      </c>
      <c r="G24" s="188">
        <f>Emissions!L37*'Emissions Savings'!$D24</f>
        <v>3000.362334668514</v>
      </c>
      <c r="H24" s="188">
        <f>Emissions!M37*'Emissions Savings'!$D24</f>
        <v>79.518825909446463</v>
      </c>
      <c r="I24" s="188">
        <f t="shared" si="1"/>
        <v>4697.5104211140642</v>
      </c>
      <c r="J24" s="182">
        <f t="shared" si="0"/>
        <v>1389.8238301523274</v>
      </c>
      <c r="K24" s="164"/>
      <c r="L24" s="164"/>
      <c r="M24" s="164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  <c r="HK24" s="105"/>
      <c r="HL24" s="105"/>
      <c r="HM24" s="105"/>
    </row>
    <row r="25" spans="1:221" ht="14.5" x14ac:dyDescent="0.35">
      <c r="A25" s="158">
        <v>21</v>
      </c>
      <c r="B25" s="165">
        <v>19</v>
      </c>
      <c r="C25" s="172">
        <f>'[1]Initial Project Cost'!B25</f>
        <v>2043</v>
      </c>
      <c r="D25" s="187">
        <f>'User Cost, Time &amp; Crash Savings'!H25/'VMT, VHT, and User Costs'!P38</f>
        <v>3.053135842293056E-2</v>
      </c>
      <c r="E25" s="188">
        <f>Emissions!J38*'Emissions Savings'!$D25</f>
        <v>54.662301616511463</v>
      </c>
      <c r="F25" s="188">
        <f>Emissions!K38*'Emissions Savings'!$D25</f>
        <v>1570.006688371722</v>
      </c>
      <c r="G25" s="188">
        <f>Emissions!L38*'Emissions Savings'!$D25</f>
        <v>3013.4195534081332</v>
      </c>
      <c r="H25" s="188">
        <f>Emissions!M38*'Emissions Savings'!$D25</f>
        <v>79.864882347970607</v>
      </c>
      <c r="I25" s="188">
        <f t="shared" si="1"/>
        <v>4717.9534257443374</v>
      </c>
      <c r="J25" s="182">
        <f t="shared" si="0"/>
        <v>1304.5534369753461</v>
      </c>
      <c r="K25" s="164"/>
      <c r="L25" s="164"/>
      <c r="M25" s="164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  <c r="HK25" s="105"/>
      <c r="HL25" s="105"/>
      <c r="HM25" s="105"/>
    </row>
    <row r="26" spans="1:221" ht="14.5" x14ac:dyDescent="0.35">
      <c r="A26" s="158">
        <v>22</v>
      </c>
      <c r="B26" s="165">
        <v>20</v>
      </c>
      <c r="C26" s="172">
        <f>'[1]Initial Project Cost'!B26</f>
        <v>2044</v>
      </c>
      <c r="D26" s="187">
        <f>'User Cost, Time &amp; Crash Savings'!H26/'VMT, VHT, and User Costs'!P39</f>
        <v>0</v>
      </c>
      <c r="E26" s="188">
        <f>Emissions!J39*'Emissions Savings'!$D26</f>
        <v>0</v>
      </c>
      <c r="F26" s="188">
        <f>Emissions!K39*'Emissions Savings'!$D26</f>
        <v>0</v>
      </c>
      <c r="G26" s="188">
        <f>Emissions!L39*'Emissions Savings'!$D26</f>
        <v>0</v>
      </c>
      <c r="H26" s="188">
        <f>Emissions!M39*'Emissions Savings'!$D26</f>
        <v>0</v>
      </c>
      <c r="I26" s="188">
        <f t="shared" si="1"/>
        <v>0</v>
      </c>
      <c r="J26" s="182">
        <f t="shared" si="0"/>
        <v>0</v>
      </c>
      <c r="K26" s="164"/>
      <c r="L26" s="164"/>
      <c r="M26" s="164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</row>
    <row r="27" spans="1:221" ht="14.5" x14ac:dyDescent="0.35">
      <c r="A27" s="158">
        <v>23</v>
      </c>
      <c r="B27" s="165">
        <v>21</v>
      </c>
      <c r="C27" s="172">
        <f>'[1]Initial Project Cost'!B27</f>
        <v>2045</v>
      </c>
      <c r="D27" s="187">
        <f>'User Cost, Time &amp; Crash Savings'!H27/'VMT, VHT, and User Costs'!P40</f>
        <v>0.5</v>
      </c>
      <c r="E27" s="188">
        <f>Emissions!J40*'Emissions Savings'!$D27</f>
        <v>903.2176858806406</v>
      </c>
      <c r="F27" s="188">
        <f>Emissions!K40*'Emissions Savings'!$D27</f>
        <v>25942.153293082192</v>
      </c>
      <c r="G27" s="188">
        <f>Emissions!L40*'Emissions Savings'!$D27</f>
        <v>49792.521630567797</v>
      </c>
      <c r="H27" s="188">
        <f>Emissions!M40*'Emissions Savings'!$D27</f>
        <v>1319.6549008041438</v>
      </c>
      <c r="I27" s="188">
        <f t="shared" si="1"/>
        <v>77957.547510334771</v>
      </c>
      <c r="J27" s="182">
        <f t="shared" si="0"/>
        <v>18827.767934051873</v>
      </c>
      <c r="K27" s="164"/>
      <c r="L27" s="164"/>
      <c r="M27" s="16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</row>
    <row r="28" spans="1:221" ht="14.5" x14ac:dyDescent="0.35">
      <c r="A28" s="158">
        <v>24</v>
      </c>
      <c r="B28" s="165">
        <v>22</v>
      </c>
      <c r="C28" s="172">
        <f>'[1]Initial Project Cost'!B28</f>
        <v>2046</v>
      </c>
      <c r="D28" s="187">
        <f>'User Cost, Time &amp; Crash Savings'!H28/'VMT, VHT, and User Costs'!P41</f>
        <v>0</v>
      </c>
      <c r="E28" s="188">
        <f>Emissions!J41*'Emissions Savings'!$D28</f>
        <v>0</v>
      </c>
      <c r="F28" s="188">
        <f>Emissions!K41*'Emissions Savings'!$D28</f>
        <v>0</v>
      </c>
      <c r="G28" s="188">
        <f>Emissions!L41*'Emissions Savings'!$D28</f>
        <v>0</v>
      </c>
      <c r="H28" s="188">
        <f>Emissions!M41*'Emissions Savings'!$D28</f>
        <v>0</v>
      </c>
      <c r="I28" s="188">
        <f t="shared" si="1"/>
        <v>0</v>
      </c>
      <c r="J28" s="182">
        <f t="shared" si="0"/>
        <v>0</v>
      </c>
      <c r="K28" s="164"/>
      <c r="L28" s="164"/>
      <c r="M28" s="164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105"/>
      <c r="GH28" s="105"/>
      <c r="GI28" s="105"/>
      <c r="GJ28" s="105"/>
      <c r="GK28" s="105"/>
      <c r="GL28" s="105"/>
      <c r="GM28" s="105"/>
      <c r="GN28" s="105"/>
      <c r="GO28" s="105"/>
      <c r="GP28" s="105"/>
      <c r="GQ28" s="105"/>
      <c r="GR28" s="105"/>
      <c r="GS28" s="105"/>
      <c r="GT28" s="105"/>
      <c r="GU28" s="105"/>
      <c r="GV28" s="105"/>
      <c r="GW28" s="105"/>
      <c r="GX28" s="105"/>
      <c r="GY28" s="105"/>
      <c r="GZ28" s="105"/>
      <c r="HA28" s="105"/>
      <c r="HB28" s="105"/>
      <c r="HC28" s="105"/>
      <c r="HD28" s="105"/>
      <c r="HE28" s="105"/>
      <c r="HF28" s="105"/>
      <c r="HG28" s="105"/>
      <c r="HH28" s="105"/>
      <c r="HI28" s="105"/>
      <c r="HJ28" s="105"/>
      <c r="HK28" s="105"/>
      <c r="HL28" s="105"/>
      <c r="HM28" s="105"/>
    </row>
    <row r="29" spans="1:221" ht="14.5" x14ac:dyDescent="0.35">
      <c r="A29" s="158">
        <v>25</v>
      </c>
      <c r="B29" s="165">
        <v>23</v>
      </c>
      <c r="C29" s="172">
        <f>'[1]Initial Project Cost'!B29</f>
        <v>2047</v>
      </c>
      <c r="D29" s="187">
        <f>'User Cost, Time &amp; Crash Savings'!H29/'VMT, VHT, and User Costs'!P42</f>
        <v>0</v>
      </c>
      <c r="E29" s="188">
        <f>Emissions!J42*'Emissions Savings'!$D29</f>
        <v>0</v>
      </c>
      <c r="F29" s="188">
        <f>Emissions!K42*'Emissions Savings'!$D29</f>
        <v>0</v>
      </c>
      <c r="G29" s="188">
        <f>Emissions!L42*'Emissions Savings'!$D29</f>
        <v>0</v>
      </c>
      <c r="H29" s="188">
        <f>Emissions!M42*'Emissions Savings'!$D29</f>
        <v>0</v>
      </c>
      <c r="I29" s="188">
        <f t="shared" si="1"/>
        <v>0</v>
      </c>
      <c r="J29" s="182">
        <f t="shared" si="0"/>
        <v>0</v>
      </c>
      <c r="K29" s="164"/>
      <c r="L29" s="164"/>
      <c r="M29" s="164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5"/>
      <c r="ET29" s="105"/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  <c r="FU29" s="105"/>
      <c r="FV29" s="105"/>
      <c r="FW29" s="105"/>
      <c r="FX29" s="105"/>
      <c r="FY29" s="105"/>
      <c r="FZ29" s="105"/>
      <c r="GA29" s="105"/>
      <c r="GB29" s="105"/>
      <c r="GC29" s="105"/>
      <c r="GD29" s="105"/>
      <c r="GE29" s="105"/>
      <c r="GF29" s="105"/>
      <c r="GG29" s="105"/>
      <c r="GH29" s="105"/>
      <c r="GI29" s="105"/>
      <c r="GJ29" s="105"/>
      <c r="GK29" s="105"/>
      <c r="GL29" s="105"/>
      <c r="GM29" s="105"/>
      <c r="GN29" s="105"/>
      <c r="GO29" s="105"/>
      <c r="GP29" s="105"/>
      <c r="GQ29" s="105"/>
      <c r="GR29" s="105"/>
      <c r="GS29" s="105"/>
      <c r="GT29" s="105"/>
      <c r="GU29" s="105"/>
      <c r="GV29" s="105"/>
      <c r="GW29" s="105"/>
      <c r="GX29" s="105"/>
      <c r="GY29" s="105"/>
      <c r="GZ29" s="105"/>
      <c r="HA29" s="105"/>
      <c r="HB29" s="105"/>
      <c r="HC29" s="105"/>
      <c r="HD29" s="105"/>
      <c r="HE29" s="105"/>
      <c r="HF29" s="105"/>
      <c r="HG29" s="105"/>
      <c r="HH29" s="105"/>
      <c r="HI29" s="105"/>
      <c r="HJ29" s="105"/>
      <c r="HK29" s="105"/>
      <c r="HL29" s="105"/>
      <c r="HM29" s="105"/>
    </row>
    <row r="30" spans="1:221" ht="14.5" x14ac:dyDescent="0.35">
      <c r="A30" s="158">
        <v>26</v>
      </c>
      <c r="B30" s="165">
        <v>24</v>
      </c>
      <c r="C30" s="172">
        <f>'[1]Initial Project Cost'!B30</f>
        <v>2048</v>
      </c>
      <c r="D30" s="187">
        <f>'User Cost, Time &amp; Crash Savings'!H30/'VMT, VHT, and User Costs'!P43</f>
        <v>0</v>
      </c>
      <c r="E30" s="188">
        <f>Emissions!J43*'Emissions Savings'!$D30</f>
        <v>0</v>
      </c>
      <c r="F30" s="188">
        <f>Emissions!K43*'Emissions Savings'!$D30</f>
        <v>0</v>
      </c>
      <c r="G30" s="188">
        <f>Emissions!L43*'Emissions Savings'!$D30</f>
        <v>0</v>
      </c>
      <c r="H30" s="188">
        <f>Emissions!M43*'Emissions Savings'!$D30</f>
        <v>0</v>
      </c>
      <c r="I30" s="188">
        <f t="shared" si="1"/>
        <v>0</v>
      </c>
      <c r="J30" s="182">
        <f t="shared" si="0"/>
        <v>0</v>
      </c>
      <c r="K30" s="164"/>
      <c r="L30" s="164"/>
      <c r="M30" s="164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/>
      <c r="FY30" s="105"/>
      <c r="FZ30" s="105"/>
      <c r="GA30" s="105"/>
      <c r="GB30" s="105"/>
      <c r="GC30" s="105"/>
      <c r="GD30" s="105"/>
      <c r="GE30" s="105"/>
      <c r="GF30" s="105"/>
      <c r="GG30" s="105"/>
      <c r="GH30" s="105"/>
      <c r="GI30" s="105"/>
      <c r="GJ30" s="105"/>
      <c r="GK30" s="105"/>
      <c r="GL30" s="105"/>
      <c r="GM30" s="105"/>
      <c r="GN30" s="105"/>
      <c r="GO30" s="105"/>
      <c r="GP30" s="105"/>
      <c r="GQ30" s="105"/>
      <c r="GR30" s="105"/>
      <c r="GS30" s="105"/>
      <c r="GT30" s="105"/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/>
      <c r="HI30" s="105"/>
      <c r="HJ30" s="105"/>
      <c r="HK30" s="105"/>
      <c r="HL30" s="105"/>
      <c r="HM30" s="105"/>
    </row>
    <row r="31" spans="1:221" ht="14.5" x14ac:dyDescent="0.35">
      <c r="A31" s="158">
        <v>27</v>
      </c>
      <c r="B31" s="165">
        <v>25</v>
      </c>
      <c r="C31" s="172">
        <f>'[1]Initial Project Cost'!B31</f>
        <v>2049</v>
      </c>
      <c r="D31" s="187">
        <f>'User Cost, Time &amp; Crash Savings'!H31/'VMT, VHT, and User Costs'!P44</f>
        <v>1</v>
      </c>
      <c r="E31" s="188">
        <f>Emissions!J44*'Emissions Savings'!$D31</f>
        <v>1838.0202847031196</v>
      </c>
      <c r="F31" s="188">
        <f>Emissions!K44*'Emissions Savings'!$D31</f>
        <v>52791.486179848856</v>
      </c>
      <c r="G31" s="188">
        <f>Emissions!L44*'Emissions Savings'!$D31</f>
        <v>101326.25414024133</v>
      </c>
      <c r="H31" s="188">
        <f>Emissions!M44*'Emissions Savings'!$D31</f>
        <v>2685.4572429247519</v>
      </c>
      <c r="I31" s="188">
        <f t="shared" si="1"/>
        <v>158641.21784771807</v>
      </c>
      <c r="J31" s="182">
        <f t="shared" si="0"/>
        <v>29229.51390956849</v>
      </c>
      <c r="K31" s="164"/>
      <c r="L31" s="164"/>
      <c r="M31" s="164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</row>
    <row r="32" spans="1:221" ht="14.5" x14ac:dyDescent="0.35">
      <c r="A32" s="158">
        <v>28</v>
      </c>
      <c r="B32" s="165">
        <v>26</v>
      </c>
      <c r="C32" s="172">
        <f>'[1]Initial Project Cost'!B32</f>
        <v>2050</v>
      </c>
      <c r="D32" s="187">
        <f>'User Cost, Time &amp; Crash Savings'!H32/'VMT, VHT, and User Costs'!P45</f>
        <v>1</v>
      </c>
      <c r="E32" s="188">
        <f>Emissions!J45*'Emissions Savings'!$D32</f>
        <v>1845.7779826186588</v>
      </c>
      <c r="F32" s="188">
        <f>Emissions!K45*'Emissions Savings'!$D32</f>
        <v>53014.302220402926</v>
      </c>
      <c r="G32" s="188">
        <f>Emissions!L45*'Emissions Savings'!$D32</f>
        <v>101753.91997019709</v>
      </c>
      <c r="H32" s="188">
        <f>Emissions!M45*'Emissions Savings'!$D32</f>
        <v>2696.7917021954618</v>
      </c>
      <c r="I32" s="188">
        <f t="shared" si="1"/>
        <v>159310.79187541411</v>
      </c>
      <c r="J32" s="182">
        <f t="shared" si="0"/>
        <v>27432.600349029664</v>
      </c>
      <c r="K32" s="164"/>
      <c r="L32" s="164"/>
      <c r="M32" s="164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105"/>
      <c r="GH32" s="105"/>
      <c r="GI32" s="105"/>
      <c r="GJ32" s="105"/>
      <c r="GK32" s="105"/>
      <c r="GL32" s="105"/>
      <c r="GM32" s="105"/>
      <c r="GN32" s="105"/>
      <c r="GO32" s="105"/>
      <c r="GP32" s="105"/>
      <c r="GQ32" s="105"/>
      <c r="GR32" s="105"/>
      <c r="GS32" s="105"/>
      <c r="GT32" s="105"/>
      <c r="GU32" s="105"/>
      <c r="GV32" s="105"/>
      <c r="GW32" s="105"/>
      <c r="GX32" s="105"/>
      <c r="GY32" s="105"/>
      <c r="GZ32" s="105"/>
      <c r="HA32" s="105"/>
      <c r="HB32" s="105"/>
      <c r="HC32" s="105"/>
      <c r="HD32" s="105"/>
      <c r="HE32" s="105"/>
      <c r="HF32" s="105"/>
      <c r="HG32" s="105"/>
      <c r="HH32" s="105"/>
      <c r="HI32" s="105"/>
      <c r="HJ32" s="105"/>
      <c r="HK32" s="105"/>
      <c r="HL32" s="105"/>
      <c r="HM32" s="105"/>
    </row>
    <row r="33" spans="1:221" ht="14.5" x14ac:dyDescent="0.35">
      <c r="A33" s="158">
        <v>29</v>
      </c>
      <c r="B33" s="165">
        <v>27</v>
      </c>
      <c r="C33" s="172">
        <f>'[1]Initial Project Cost'!B33</f>
        <v>2051</v>
      </c>
      <c r="D33" s="187">
        <f>'User Cost, Time &amp; Crash Savings'!H33/'VMT, VHT, and User Costs'!P46</f>
        <v>1</v>
      </c>
      <c r="E33" s="188">
        <f>Emissions!J46*'Emissions Savings'!$D33</f>
        <v>1853.535680534198</v>
      </c>
      <c r="F33" s="188">
        <f>Emissions!K46*'Emissions Savings'!$D33</f>
        <v>53237.11826095701</v>
      </c>
      <c r="G33" s="188">
        <f>Emissions!L46*'Emissions Savings'!$D33</f>
        <v>102181.58580015293</v>
      </c>
      <c r="H33" s="188">
        <f>Emissions!M46*'Emissions Savings'!$D33</f>
        <v>2708.1261614661726</v>
      </c>
      <c r="I33" s="188">
        <f t="shared" si="1"/>
        <v>159980.3659031103</v>
      </c>
      <c r="J33" s="182">
        <f t="shared" si="0"/>
        <v>25745.699045641548</v>
      </c>
      <c r="K33" s="164"/>
      <c r="L33" s="164"/>
      <c r="M33" s="164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5"/>
      <c r="DN33" s="105"/>
      <c r="DO33" s="105"/>
      <c r="DP33" s="105"/>
      <c r="DQ33" s="105"/>
      <c r="DR33" s="105"/>
      <c r="DS33" s="105"/>
      <c r="DT33" s="105"/>
      <c r="DU33" s="105"/>
      <c r="DV33" s="105"/>
      <c r="DW33" s="105"/>
      <c r="DX33" s="105"/>
      <c r="DY33" s="105"/>
      <c r="DZ33" s="105"/>
      <c r="EA33" s="105"/>
      <c r="EB33" s="105"/>
      <c r="EC33" s="105"/>
      <c r="ED33" s="105"/>
      <c r="EE33" s="105"/>
      <c r="EF33" s="105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05"/>
      <c r="FA33" s="105"/>
      <c r="FB33" s="105"/>
      <c r="FC33" s="105"/>
      <c r="FD33" s="105"/>
      <c r="FE33" s="105"/>
      <c r="FF33" s="105"/>
      <c r="FG33" s="105"/>
      <c r="FH33" s="105"/>
      <c r="FI33" s="105"/>
      <c r="FJ33" s="105"/>
      <c r="FK33" s="105"/>
      <c r="FL33" s="105"/>
      <c r="FM33" s="105"/>
      <c r="FN33" s="105"/>
      <c r="FO33" s="105"/>
      <c r="FP33" s="105"/>
      <c r="FQ33" s="105"/>
      <c r="FR33" s="105"/>
      <c r="FS33" s="105"/>
      <c r="FT33" s="105"/>
      <c r="FU33" s="105"/>
      <c r="FV33" s="105"/>
      <c r="FW33" s="105"/>
      <c r="FX33" s="105"/>
      <c r="FY33" s="105"/>
      <c r="FZ33" s="105"/>
      <c r="GA33" s="105"/>
      <c r="GB33" s="105"/>
      <c r="GC33" s="105"/>
      <c r="GD33" s="105"/>
      <c r="GE33" s="105"/>
      <c r="GF33" s="105"/>
      <c r="GG33" s="105"/>
      <c r="GH33" s="105"/>
      <c r="GI33" s="105"/>
      <c r="GJ33" s="105"/>
      <c r="GK33" s="105"/>
      <c r="GL33" s="105"/>
      <c r="GM33" s="105"/>
      <c r="GN33" s="105"/>
      <c r="GO33" s="105"/>
      <c r="GP33" s="105"/>
      <c r="GQ33" s="105"/>
      <c r="GR33" s="105"/>
      <c r="GS33" s="105"/>
      <c r="GT33" s="105"/>
      <c r="GU33" s="105"/>
      <c r="GV33" s="105"/>
      <c r="GW33" s="105"/>
      <c r="GX33" s="105"/>
      <c r="GY33" s="105"/>
      <c r="GZ33" s="105"/>
      <c r="HA33" s="105"/>
      <c r="HB33" s="105"/>
      <c r="HC33" s="105"/>
      <c r="HD33" s="105"/>
      <c r="HE33" s="105"/>
      <c r="HF33" s="105"/>
      <c r="HG33" s="105"/>
      <c r="HH33" s="105"/>
      <c r="HI33" s="105"/>
      <c r="HJ33" s="105"/>
      <c r="HK33" s="105"/>
      <c r="HL33" s="105"/>
      <c r="HM33" s="105"/>
    </row>
    <row r="34" spans="1:221" ht="14.5" x14ac:dyDescent="0.35">
      <c r="A34" s="158">
        <v>30</v>
      </c>
      <c r="B34" s="165">
        <v>28</v>
      </c>
      <c r="C34" s="172">
        <f>'[1]Initial Project Cost'!B34</f>
        <v>2052</v>
      </c>
      <c r="D34" s="187">
        <f>'User Cost, Time &amp; Crash Savings'!H34/'VMT, VHT, and User Costs'!P47</f>
        <v>1</v>
      </c>
      <c r="E34" s="188">
        <f>Emissions!J47*'Emissions Savings'!$D34</f>
        <v>1861.8474997294188</v>
      </c>
      <c r="F34" s="188">
        <f>Emissions!K47*'Emissions Savings'!$D34</f>
        <v>53475.849732979252</v>
      </c>
      <c r="G34" s="188">
        <f>Emissions!L47*'Emissions Savings'!$D34</f>
        <v>102639.79918939127</v>
      </c>
      <c r="H34" s="188">
        <f>Emissions!M47*'Emissions Savings'!$D34</f>
        <v>2720.2702249705048</v>
      </c>
      <c r="I34" s="188">
        <f t="shared" si="1"/>
        <v>160697.76664707044</v>
      </c>
      <c r="J34" s="182">
        <f t="shared" si="0"/>
        <v>24169.299636325839</v>
      </c>
      <c r="K34" s="164"/>
      <c r="L34" s="164"/>
      <c r="M34" s="164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05"/>
      <c r="FA34" s="105"/>
      <c r="FB34" s="105"/>
      <c r="FC34" s="105"/>
      <c r="FD34" s="105"/>
      <c r="FE34" s="105"/>
      <c r="FF34" s="105"/>
      <c r="FG34" s="105"/>
      <c r="FH34" s="105"/>
      <c r="FI34" s="105"/>
      <c r="FJ34" s="105"/>
      <c r="FK34" s="105"/>
      <c r="FL34" s="105"/>
      <c r="FM34" s="105"/>
      <c r="FN34" s="105"/>
      <c r="FO34" s="105"/>
      <c r="FP34" s="105"/>
      <c r="FQ34" s="105"/>
      <c r="FR34" s="105"/>
      <c r="FS34" s="105"/>
      <c r="FT34" s="105"/>
      <c r="FU34" s="105"/>
      <c r="FV34" s="105"/>
      <c r="FW34" s="105"/>
      <c r="FX34" s="105"/>
      <c r="FY34" s="105"/>
      <c r="FZ34" s="105"/>
      <c r="GA34" s="105"/>
      <c r="GB34" s="105"/>
      <c r="GC34" s="105"/>
      <c r="GD34" s="105"/>
      <c r="GE34" s="105"/>
      <c r="GF34" s="105"/>
      <c r="GG34" s="105"/>
      <c r="GH34" s="105"/>
      <c r="GI34" s="105"/>
      <c r="GJ34" s="105"/>
      <c r="GK34" s="105"/>
      <c r="GL34" s="105"/>
      <c r="GM34" s="105"/>
      <c r="GN34" s="105"/>
      <c r="GO34" s="105"/>
      <c r="GP34" s="105"/>
      <c r="GQ34" s="105"/>
      <c r="GR34" s="105"/>
      <c r="GS34" s="105"/>
      <c r="GT34" s="105"/>
      <c r="GU34" s="105"/>
      <c r="GV34" s="105"/>
      <c r="GW34" s="105"/>
      <c r="GX34" s="105"/>
      <c r="GY34" s="105"/>
      <c r="GZ34" s="105"/>
      <c r="HA34" s="105"/>
      <c r="HB34" s="105"/>
      <c r="HC34" s="105"/>
      <c r="HD34" s="105"/>
      <c r="HE34" s="105"/>
      <c r="HF34" s="105"/>
      <c r="HG34" s="105"/>
      <c r="HH34" s="105"/>
      <c r="HI34" s="105"/>
      <c r="HJ34" s="105"/>
      <c r="HK34" s="105"/>
      <c r="HL34" s="105"/>
      <c r="HM34" s="105"/>
    </row>
    <row r="35" spans="1:221" ht="14.5" x14ac:dyDescent="0.35">
      <c r="A35" s="158">
        <v>31</v>
      </c>
      <c r="B35" s="165">
        <v>29</v>
      </c>
      <c r="C35" s="174">
        <f>'[1]Initial Project Cost'!B35</f>
        <v>2053</v>
      </c>
      <c r="D35" s="187">
        <f>'User Cost, Time &amp; Crash Savings'!H35/'VMT, VHT, and User Costs'!P48</f>
        <v>1</v>
      </c>
      <c r="E35" s="188">
        <f>Emissions!J48*'Emissions Savings'!$D35</f>
        <v>1869.6051976449576</v>
      </c>
      <c r="F35" s="188">
        <f>Emissions!K48*'Emissions Savings'!$D35</f>
        <v>53698.665773533321</v>
      </c>
      <c r="G35" s="188">
        <f>Emissions!L48*'Emissions Savings'!$D35</f>
        <v>103067.46501934704</v>
      </c>
      <c r="H35" s="188">
        <f>Emissions!M48*'Emissions Savings'!$D35</f>
        <v>2731.6046842412156</v>
      </c>
      <c r="I35" s="188">
        <f t="shared" si="1"/>
        <v>161367.34067476654</v>
      </c>
      <c r="J35" s="182">
        <f t="shared" si="0"/>
        <v>22682.247711660926</v>
      </c>
      <c r="K35" s="164"/>
      <c r="L35" s="164"/>
      <c r="M35" s="164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105"/>
      <c r="DQ35" s="105"/>
      <c r="DR35" s="105"/>
      <c r="DS35" s="105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5"/>
      <c r="ET35" s="105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105"/>
      <c r="FG35" s="105"/>
      <c r="FH35" s="105"/>
      <c r="FI35" s="105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105"/>
      <c r="FU35" s="105"/>
      <c r="FV35" s="105"/>
      <c r="FW35" s="105"/>
      <c r="FX35" s="105"/>
      <c r="FY35" s="105"/>
      <c r="FZ35" s="105"/>
      <c r="GA35" s="105"/>
      <c r="GB35" s="105"/>
      <c r="GC35" s="105"/>
      <c r="GD35" s="105"/>
      <c r="GE35" s="105"/>
      <c r="GF35" s="105"/>
      <c r="GG35" s="105"/>
      <c r="GH35" s="105"/>
      <c r="GI35" s="105"/>
      <c r="GJ35" s="105"/>
      <c r="GK35" s="105"/>
      <c r="GL35" s="105"/>
      <c r="GM35" s="105"/>
      <c r="GN35" s="105"/>
      <c r="GO35" s="105"/>
      <c r="GP35" s="105"/>
      <c r="GQ35" s="105"/>
      <c r="GR35" s="105"/>
      <c r="GS35" s="105"/>
      <c r="GT35" s="105"/>
      <c r="GU35" s="105"/>
      <c r="GV35" s="105"/>
      <c r="GW35" s="105"/>
      <c r="GX35" s="105"/>
      <c r="GY35" s="105"/>
      <c r="GZ35" s="105"/>
      <c r="HA35" s="105"/>
      <c r="HB35" s="105"/>
      <c r="HC35" s="105"/>
      <c r="HD35" s="105"/>
      <c r="HE35" s="105"/>
      <c r="HF35" s="105"/>
      <c r="HG35" s="105"/>
      <c r="HH35" s="105"/>
      <c r="HI35" s="105"/>
      <c r="HJ35" s="105"/>
      <c r="HK35" s="105"/>
      <c r="HL35" s="105"/>
      <c r="HM35" s="105"/>
    </row>
    <row r="36" spans="1:221" ht="14.5" x14ac:dyDescent="0.35">
      <c r="A36" s="168">
        <v>32</v>
      </c>
      <c r="B36" s="169">
        <v>30</v>
      </c>
      <c r="C36" s="176">
        <f>'[1]Initial Project Cost'!B36</f>
        <v>2054</v>
      </c>
      <c r="D36" s="187">
        <f>'User Cost, Time &amp; Crash Savings'!H36/'VMT, VHT, and User Costs'!P49</f>
        <v>1</v>
      </c>
      <c r="E36" s="188">
        <f>Emissions!J49*'Emissions Savings'!$D36</f>
        <v>1877.3628955604972</v>
      </c>
      <c r="F36" s="188">
        <f>Emissions!K49*'Emissions Savings'!$D36</f>
        <v>53921.481814087398</v>
      </c>
      <c r="G36" s="188">
        <f>Emissions!L49*'Emissions Savings'!$D36</f>
        <v>103495.13084930286</v>
      </c>
      <c r="H36" s="188">
        <f>Emissions!M49*'Emissions Savings'!$D36</f>
        <v>2742.9391435119255</v>
      </c>
      <c r="I36" s="188">
        <f t="shared" si="1"/>
        <v>162036.91470246267</v>
      </c>
      <c r="J36" s="182">
        <f t="shared" si="0"/>
        <v>21286.32235708669</v>
      </c>
      <c r="K36" s="164"/>
      <c r="L36" s="164"/>
      <c r="M36" s="164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105"/>
      <c r="DQ36" s="105"/>
      <c r="DR36" s="105"/>
      <c r="DS36" s="105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105"/>
      <c r="FA36" s="105"/>
      <c r="FB36" s="105"/>
      <c r="FC36" s="105"/>
      <c r="FD36" s="105"/>
      <c r="FE36" s="105"/>
      <c r="FF36" s="105"/>
      <c r="FG36" s="105"/>
      <c r="FH36" s="105"/>
      <c r="FI36" s="105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105"/>
      <c r="FU36" s="105"/>
      <c r="FV36" s="105"/>
      <c r="FW36" s="105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105"/>
      <c r="GI36" s="105"/>
      <c r="GJ36" s="105"/>
      <c r="GK36" s="105"/>
      <c r="GL36" s="105"/>
      <c r="GM36" s="105"/>
      <c r="GN36" s="105"/>
      <c r="GO36" s="105"/>
      <c r="GP36" s="105"/>
      <c r="GQ36" s="105"/>
      <c r="GR36" s="105"/>
      <c r="GS36" s="105"/>
      <c r="GT36" s="105"/>
      <c r="GU36" s="105"/>
      <c r="GV36" s="105"/>
      <c r="GW36" s="105"/>
      <c r="GX36" s="105"/>
      <c r="GY36" s="105"/>
      <c r="GZ36" s="105"/>
      <c r="HA36" s="105"/>
      <c r="HB36" s="105"/>
      <c r="HC36" s="105"/>
      <c r="HD36" s="105"/>
      <c r="HE36" s="105"/>
      <c r="HF36" s="105"/>
      <c r="HG36" s="105"/>
      <c r="HH36" s="105"/>
      <c r="HI36" s="105"/>
      <c r="HJ36" s="105"/>
      <c r="HK36" s="105"/>
      <c r="HL36" s="105"/>
      <c r="HM36" s="105"/>
    </row>
    <row r="37" spans="1:221" x14ac:dyDescent="0.25">
      <c r="I37" s="232">
        <f>SUM(I7:I36)</f>
        <v>1266642.9173547747</v>
      </c>
      <c r="J37" s="192">
        <f>SUM(J4:J36)</f>
        <v>292554.78690813802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D476F-68C7-42E1-983D-AAE59A0EAAC0}">
  <sheetPr>
    <tabColor theme="3" tint="0.59999389629810485"/>
  </sheetPr>
  <dimension ref="A1:R38"/>
  <sheetViews>
    <sheetView workbookViewId="0"/>
  </sheetViews>
  <sheetFormatPr defaultColWidth="9.08984375" defaultRowHeight="14.5" x14ac:dyDescent="0.35"/>
  <cols>
    <col min="1" max="1" width="16.1796875" style="50" customWidth="1"/>
    <col min="2" max="2" width="13" style="50" customWidth="1"/>
    <col min="3" max="3" width="14" style="50" customWidth="1"/>
    <col min="4" max="4" width="9.08984375" style="50"/>
    <col min="5" max="5" width="10.6328125" style="50" bestFit="1" customWidth="1"/>
    <col min="6" max="6" width="14.1796875" style="50" customWidth="1"/>
    <col min="7" max="7" width="9.08984375" style="50"/>
    <col min="8" max="8" width="17.1796875" style="50" customWidth="1"/>
    <col min="9" max="9" width="19.08984375" style="50" customWidth="1"/>
    <col min="10" max="10" width="19.54296875" style="50" customWidth="1"/>
    <col min="11" max="11" width="15.1796875" style="50" bestFit="1" customWidth="1"/>
    <col min="12" max="15" width="9.08984375" style="50"/>
    <col min="16" max="16" width="9.54296875" style="50" bestFit="1" customWidth="1"/>
    <col min="17" max="17" width="10.54296875" style="50" bestFit="1" customWidth="1"/>
    <col min="18" max="16384" width="9.08984375" style="50"/>
  </cols>
  <sheetData>
    <row r="1" spans="1:18" ht="15" thickBot="1" x14ac:dyDescent="0.4"/>
    <row r="2" spans="1:18" s="51" customFormat="1" x14ac:dyDescent="0.35">
      <c r="B2" s="243" t="s">
        <v>121</v>
      </c>
      <c r="C2" s="243"/>
      <c r="E2" s="243" t="s">
        <v>122</v>
      </c>
      <c r="F2" s="243"/>
      <c r="H2" s="52"/>
      <c r="I2" s="53" t="s">
        <v>123</v>
      </c>
      <c r="J2" s="54"/>
    </row>
    <row r="3" spans="1:18" x14ac:dyDescent="0.35">
      <c r="B3" s="50" t="s">
        <v>124</v>
      </c>
      <c r="C3" s="50" t="s">
        <v>125</v>
      </c>
      <c r="E3" s="50" t="s">
        <v>124</v>
      </c>
      <c r="F3" s="50" t="s">
        <v>125</v>
      </c>
      <c r="H3" s="55"/>
      <c r="J3" s="56"/>
      <c r="M3" s="50" t="s">
        <v>151</v>
      </c>
      <c r="P3" s="50">
        <f>H24</f>
        <v>10127</v>
      </c>
    </row>
    <row r="4" spans="1:18" x14ac:dyDescent="0.35">
      <c r="A4" s="50" t="s">
        <v>126</v>
      </c>
      <c r="B4" s="90">
        <v>57553603.759999998</v>
      </c>
      <c r="C4" s="90">
        <v>1224432.68</v>
      </c>
      <c r="D4" s="90"/>
      <c r="E4" s="90">
        <v>57599895.159999996</v>
      </c>
      <c r="F4" s="90">
        <v>1230193.8400000001</v>
      </c>
      <c r="H4" s="55" t="s">
        <v>126</v>
      </c>
      <c r="I4" s="57">
        <f t="shared" ref="I4:I5" si="0">E4-B4</f>
        <v>46291.39999999851</v>
      </c>
      <c r="J4" s="58">
        <f t="shared" ref="J4:J5" si="1">F4-C4</f>
        <v>5761.160000000149</v>
      </c>
      <c r="P4" s="50">
        <f>H27</f>
        <v>18434</v>
      </c>
    </row>
    <row r="5" spans="1:18" x14ac:dyDescent="0.35">
      <c r="A5" s="50" t="s">
        <v>127</v>
      </c>
      <c r="B5" s="90">
        <v>4496332.57</v>
      </c>
      <c r="C5" s="90">
        <v>77107.88</v>
      </c>
      <c r="D5" s="90"/>
      <c r="E5" s="90">
        <v>4496636.43</v>
      </c>
      <c r="F5" s="90">
        <v>77115.990000000005</v>
      </c>
      <c r="H5" s="55" t="s">
        <v>127</v>
      </c>
      <c r="I5" s="57">
        <f t="shared" si="0"/>
        <v>303.85999999940395</v>
      </c>
      <c r="J5" s="58">
        <f t="shared" si="1"/>
        <v>8.1100000000005821</v>
      </c>
      <c r="O5" s="50" t="s">
        <v>152</v>
      </c>
      <c r="P5" s="50">
        <f>H30</f>
        <v>28561</v>
      </c>
    </row>
    <row r="6" spans="1:18" x14ac:dyDescent="0.35">
      <c r="A6" s="50" t="s">
        <v>128</v>
      </c>
      <c r="B6" s="90">
        <v>2864603.75</v>
      </c>
      <c r="C6" s="90">
        <v>65124.81</v>
      </c>
      <c r="D6" s="90"/>
      <c r="E6" s="90">
        <v>2880787.36</v>
      </c>
      <c r="F6" s="90">
        <v>65442.77</v>
      </c>
      <c r="H6" s="55" t="s">
        <v>128</v>
      </c>
      <c r="I6" s="57">
        <f>E6-B6</f>
        <v>16183.60999999987</v>
      </c>
      <c r="J6" s="58">
        <f>F6-C6</f>
        <v>317.95999999999913</v>
      </c>
      <c r="L6" s="50" t="s">
        <v>153</v>
      </c>
      <c r="P6" s="88">
        <f>I4/P5</f>
        <v>1.620790588564774</v>
      </c>
      <c r="Q6" s="88">
        <f>P6/P7</f>
        <v>8.0350832124081464</v>
      </c>
      <c r="R6" s="50" t="s">
        <v>154</v>
      </c>
    </row>
    <row r="7" spans="1:18" x14ac:dyDescent="0.35">
      <c r="A7" s="50" t="s">
        <v>129</v>
      </c>
      <c r="B7" s="90">
        <v>2811232.43</v>
      </c>
      <c r="C7" s="90">
        <v>57522.81</v>
      </c>
      <c r="D7" s="90"/>
      <c r="E7" s="90">
        <v>2811274.6</v>
      </c>
      <c r="F7" s="90">
        <v>57522.65</v>
      </c>
      <c r="H7" s="55" t="s">
        <v>129</v>
      </c>
      <c r="I7" s="57">
        <f t="shared" ref="I7:J21" si="2">E7-B7</f>
        <v>42.169999999925494</v>
      </c>
      <c r="J7" s="58">
        <f t="shared" si="2"/>
        <v>-0.1599999999962165</v>
      </c>
      <c r="L7" s="50" t="s">
        <v>155</v>
      </c>
      <c r="P7" s="88">
        <f>J4/P5</f>
        <v>0.20171422569238293</v>
      </c>
      <c r="Q7" s="88">
        <f>P7*60</f>
        <v>12.102853541542975</v>
      </c>
      <c r="R7" s="50" t="s">
        <v>156</v>
      </c>
    </row>
    <row r="8" spans="1:18" x14ac:dyDescent="0.35">
      <c r="A8" s="50" t="s">
        <v>130</v>
      </c>
      <c r="B8" s="90">
        <v>9996543.2400000002</v>
      </c>
      <c r="C8" s="90">
        <v>221764.71</v>
      </c>
      <c r="D8" s="90"/>
      <c r="E8" s="90">
        <v>9979197.6600000001</v>
      </c>
      <c r="F8" s="90">
        <v>221847.64</v>
      </c>
      <c r="H8" s="55" t="s">
        <v>130</v>
      </c>
      <c r="I8" s="57">
        <f t="shared" si="2"/>
        <v>-17345.580000000075</v>
      </c>
      <c r="J8" s="58">
        <f t="shared" si="2"/>
        <v>82.930000000022119</v>
      </c>
      <c r="L8" s="50" t="s">
        <v>157</v>
      </c>
      <c r="O8" s="50" t="s">
        <v>158</v>
      </c>
    </row>
    <row r="9" spans="1:18" x14ac:dyDescent="0.35">
      <c r="A9" s="50" t="s">
        <v>131</v>
      </c>
      <c r="B9" s="90">
        <v>1132320.99</v>
      </c>
      <c r="C9" s="90">
        <v>24454.799999999999</v>
      </c>
      <c r="D9" s="90"/>
      <c r="E9" s="90">
        <v>1138978.94</v>
      </c>
      <c r="F9" s="90">
        <v>24581.35</v>
      </c>
      <c r="H9" s="55" t="s">
        <v>131</v>
      </c>
      <c r="I9" s="57">
        <f t="shared" si="2"/>
        <v>6657.9499999999534</v>
      </c>
      <c r="J9" s="58">
        <f t="shared" si="2"/>
        <v>126.54999999999927</v>
      </c>
      <c r="O9" s="50" t="s">
        <v>159</v>
      </c>
    </row>
    <row r="10" spans="1:18" x14ac:dyDescent="0.35">
      <c r="A10" s="50" t="s">
        <v>132</v>
      </c>
      <c r="B10" s="90">
        <v>3397046.66</v>
      </c>
      <c r="C10" s="90">
        <v>80383.100000000006</v>
      </c>
      <c r="D10" s="90"/>
      <c r="E10" s="90">
        <v>3397112.19</v>
      </c>
      <c r="F10" s="90">
        <v>80199.48</v>
      </c>
      <c r="H10" s="55" t="s">
        <v>132</v>
      </c>
      <c r="I10" s="57">
        <f t="shared" si="2"/>
        <v>65.529999999795109</v>
      </c>
      <c r="J10" s="58">
        <f t="shared" si="2"/>
        <v>-183.6200000000099</v>
      </c>
      <c r="O10" s="50" t="s">
        <v>152</v>
      </c>
    </row>
    <row r="11" spans="1:18" x14ac:dyDescent="0.35">
      <c r="A11" s="50" t="s">
        <v>133</v>
      </c>
      <c r="B11" s="90">
        <v>5390631.46</v>
      </c>
      <c r="C11" s="90">
        <v>106538.2</v>
      </c>
      <c r="D11" s="90"/>
      <c r="E11" s="90">
        <v>5485357.6699999999</v>
      </c>
      <c r="F11" s="90">
        <v>112239.69</v>
      </c>
      <c r="H11" s="55" t="s">
        <v>133</v>
      </c>
      <c r="I11" s="57">
        <f t="shared" si="2"/>
        <v>94726.209999999963</v>
      </c>
      <c r="J11" s="58">
        <f t="shared" si="2"/>
        <v>5701.4900000000052</v>
      </c>
      <c r="O11" s="50" t="s">
        <v>160</v>
      </c>
      <c r="P11" s="71">
        <v>5.0000000000000001E-3</v>
      </c>
      <c r="Q11" s="50" t="s">
        <v>161</v>
      </c>
    </row>
    <row r="12" spans="1:18" x14ac:dyDescent="0.35">
      <c r="A12" s="50" t="s">
        <v>134</v>
      </c>
      <c r="B12" s="90">
        <v>1138339.8</v>
      </c>
      <c r="C12" s="90">
        <v>26195.200000000001</v>
      </c>
      <c r="D12" s="90"/>
      <c r="E12" s="90">
        <v>1138376.3700000001</v>
      </c>
      <c r="F12" s="90">
        <v>26219.84</v>
      </c>
      <c r="H12" s="55" t="s">
        <v>134</v>
      </c>
      <c r="I12" s="57">
        <f t="shared" si="2"/>
        <v>36.570000000065193</v>
      </c>
      <c r="J12" s="58">
        <f t="shared" si="2"/>
        <v>24.639999999999418</v>
      </c>
    </row>
    <row r="13" spans="1:18" x14ac:dyDescent="0.35">
      <c r="A13" s="50" t="s">
        <v>135</v>
      </c>
      <c r="B13" s="90">
        <v>1590238.31</v>
      </c>
      <c r="C13" s="90">
        <v>34102.78</v>
      </c>
      <c r="D13" s="90"/>
      <c r="E13" s="90">
        <v>1592352.68</v>
      </c>
      <c r="F13" s="90">
        <v>34141.19</v>
      </c>
      <c r="H13" s="55" t="s">
        <v>135</v>
      </c>
      <c r="I13" s="57">
        <f t="shared" si="2"/>
        <v>2114.3699999998789</v>
      </c>
      <c r="J13" s="58">
        <f t="shared" si="2"/>
        <v>38.410000000003492</v>
      </c>
    </row>
    <row r="14" spans="1:18" x14ac:dyDescent="0.35">
      <c r="A14" s="50" t="s">
        <v>136</v>
      </c>
      <c r="B14" s="90">
        <v>2067048.59</v>
      </c>
      <c r="C14" s="90">
        <v>46011.83</v>
      </c>
      <c r="D14" s="90"/>
      <c r="E14" s="90">
        <v>2066659.81</v>
      </c>
      <c r="F14" s="90">
        <v>46002.51</v>
      </c>
      <c r="H14" s="55" t="s">
        <v>136</v>
      </c>
      <c r="I14" s="57">
        <f t="shared" si="2"/>
        <v>-388.78000000002794</v>
      </c>
      <c r="J14" s="58">
        <f t="shared" si="2"/>
        <v>-9.319999999999709</v>
      </c>
    </row>
    <row r="15" spans="1:18" x14ac:dyDescent="0.35">
      <c r="A15" s="50" t="s">
        <v>137</v>
      </c>
      <c r="B15" s="90">
        <v>6036243.6699999999</v>
      </c>
      <c r="C15" s="90">
        <v>122213.79</v>
      </c>
      <c r="D15" s="90"/>
      <c r="E15" s="90">
        <v>6016637.3399999999</v>
      </c>
      <c r="F15" s="90">
        <v>122207.8</v>
      </c>
      <c r="H15" s="55" t="s">
        <v>137</v>
      </c>
      <c r="I15" s="57">
        <f t="shared" si="2"/>
        <v>-19606.330000000075</v>
      </c>
      <c r="J15" s="58">
        <f t="shared" si="2"/>
        <v>-5.9899999999906868</v>
      </c>
    </row>
    <row r="16" spans="1:18" x14ac:dyDescent="0.35">
      <c r="A16" s="50" t="s">
        <v>138</v>
      </c>
      <c r="B16" s="90">
        <v>670773.11</v>
      </c>
      <c r="C16" s="90">
        <v>14465.64</v>
      </c>
      <c r="D16" s="90"/>
      <c r="E16" s="90">
        <v>670802.82999999996</v>
      </c>
      <c r="F16" s="90">
        <v>14466.08</v>
      </c>
      <c r="H16" s="55" t="s">
        <v>138</v>
      </c>
      <c r="I16" s="57">
        <f t="shared" si="2"/>
        <v>29.71999999997206</v>
      </c>
      <c r="J16" s="58">
        <f t="shared" si="2"/>
        <v>0.44000000000050932</v>
      </c>
    </row>
    <row r="17" spans="1:11" x14ac:dyDescent="0.35">
      <c r="A17" s="50" t="s">
        <v>139</v>
      </c>
      <c r="B17" s="90">
        <v>1983931.31</v>
      </c>
      <c r="C17" s="90">
        <v>38294.269999999997</v>
      </c>
      <c r="D17" s="90"/>
      <c r="E17" s="90">
        <v>1968549.01</v>
      </c>
      <c r="F17" s="90">
        <v>38168.9</v>
      </c>
      <c r="H17" s="55" t="s">
        <v>139</v>
      </c>
      <c r="I17" s="57">
        <f t="shared" si="2"/>
        <v>-15382.300000000047</v>
      </c>
      <c r="J17" s="58">
        <f t="shared" si="2"/>
        <v>-125.36999999999534</v>
      </c>
    </row>
    <row r="18" spans="1:11" x14ac:dyDescent="0.35">
      <c r="A18" s="50" t="s">
        <v>140</v>
      </c>
      <c r="B18" s="90">
        <v>2229088.19</v>
      </c>
      <c r="C18" s="90">
        <v>44403.79</v>
      </c>
      <c r="D18" s="90"/>
      <c r="E18" s="90">
        <v>2224857.69</v>
      </c>
      <c r="F18" s="90">
        <v>44361.440000000002</v>
      </c>
      <c r="H18" s="55" t="s">
        <v>140</v>
      </c>
      <c r="I18" s="57">
        <f t="shared" si="2"/>
        <v>-4230.5</v>
      </c>
      <c r="J18" s="58">
        <f t="shared" si="2"/>
        <v>-42.349999999998545</v>
      </c>
    </row>
    <row r="19" spans="1:11" x14ac:dyDescent="0.35">
      <c r="A19" s="50" t="s">
        <v>141</v>
      </c>
      <c r="B19" s="90">
        <v>1526105.16</v>
      </c>
      <c r="C19" s="90">
        <v>32022.32</v>
      </c>
      <c r="D19" s="90"/>
      <c r="E19" s="90">
        <v>1541858.1</v>
      </c>
      <c r="F19" s="90">
        <v>32321.59</v>
      </c>
      <c r="H19" s="55" t="s">
        <v>141</v>
      </c>
      <c r="I19" s="57">
        <f t="shared" si="2"/>
        <v>15752.940000000177</v>
      </c>
      <c r="J19" s="58">
        <f t="shared" si="2"/>
        <v>299.27000000000044</v>
      </c>
    </row>
    <row r="20" spans="1:11" x14ac:dyDescent="0.35">
      <c r="A20" s="50" t="s">
        <v>142</v>
      </c>
      <c r="B20" s="90">
        <v>1493589.73</v>
      </c>
      <c r="C20" s="90">
        <v>30432.799999999999</v>
      </c>
      <c r="D20" s="90"/>
      <c r="E20" s="90">
        <v>1493796.78</v>
      </c>
      <c r="F20" s="90">
        <v>30435.56</v>
      </c>
      <c r="H20" s="55" t="s">
        <v>142</v>
      </c>
      <c r="I20" s="57">
        <f t="shared" si="2"/>
        <v>207.05000000004657</v>
      </c>
      <c r="J20" s="58">
        <f t="shared" si="2"/>
        <v>2.7600000000020373</v>
      </c>
    </row>
    <row r="21" spans="1:11" ht="15" thickBot="1" x14ac:dyDescent="0.4">
      <c r="A21" s="50" t="s">
        <v>143</v>
      </c>
      <c r="B21" s="90">
        <v>8729534.7899999991</v>
      </c>
      <c r="C21" s="90">
        <v>203393.94</v>
      </c>
      <c r="D21" s="90"/>
      <c r="E21" s="90">
        <v>8696659.7100000009</v>
      </c>
      <c r="F21" s="90">
        <v>202919.35</v>
      </c>
      <c r="H21" s="55" t="s">
        <v>143</v>
      </c>
      <c r="I21" s="57">
        <f t="shared" si="2"/>
        <v>-32875.079999998212</v>
      </c>
      <c r="J21" s="58">
        <f t="shared" si="2"/>
        <v>-474.58999999999651</v>
      </c>
    </row>
    <row r="22" spans="1:11" ht="15" thickBot="1" x14ac:dyDescent="0.4">
      <c r="H22" s="59" t="s">
        <v>144</v>
      </c>
      <c r="I22" s="60">
        <f>SUM(I6:I21)</f>
        <v>45987.550000001211</v>
      </c>
      <c r="J22" s="61">
        <f>SUM(J6:J21)</f>
        <v>5753.0500000000447</v>
      </c>
    </row>
    <row r="24" spans="1:11" x14ac:dyDescent="0.35">
      <c r="E24" s="62">
        <v>2010</v>
      </c>
      <c r="F24" s="50" t="s">
        <v>145</v>
      </c>
      <c r="G24" s="63" t="s">
        <v>146</v>
      </c>
      <c r="H24" s="50">
        <v>10127</v>
      </c>
    </row>
    <row r="25" spans="1:11" x14ac:dyDescent="0.35">
      <c r="G25" s="50" t="s">
        <v>147</v>
      </c>
      <c r="H25" s="50">
        <v>69</v>
      </c>
    </row>
    <row r="26" spans="1:11" x14ac:dyDescent="0.35">
      <c r="G26" s="50" t="s">
        <v>148</v>
      </c>
      <c r="H26" s="50">
        <v>115</v>
      </c>
    </row>
    <row r="27" spans="1:11" x14ac:dyDescent="0.35">
      <c r="F27" s="50" t="s">
        <v>149</v>
      </c>
      <c r="G27" s="63" t="s">
        <v>146</v>
      </c>
      <c r="H27" s="50">
        <v>18434</v>
      </c>
    </row>
    <row r="28" spans="1:11" x14ac:dyDescent="0.35">
      <c r="G28" s="50" t="s">
        <v>147</v>
      </c>
      <c r="H28" s="50">
        <v>228</v>
      </c>
    </row>
    <row r="29" spans="1:11" ht="15" thickBot="1" x14ac:dyDescent="0.4">
      <c r="G29" s="50" t="s">
        <v>148</v>
      </c>
      <c r="H29" s="50">
        <v>318</v>
      </c>
    </row>
    <row r="30" spans="1:11" x14ac:dyDescent="0.35">
      <c r="E30" s="62">
        <v>2010</v>
      </c>
      <c r="F30" s="64" t="s">
        <v>150</v>
      </c>
      <c r="G30" s="64"/>
      <c r="H30" s="64">
        <f>H24+H27</f>
        <v>28561</v>
      </c>
      <c r="J30" s="65"/>
      <c r="K30" s="66"/>
    </row>
    <row r="31" spans="1:11" ht="15" thickBot="1" x14ac:dyDescent="0.4">
      <c r="E31" s="50">
        <v>2040</v>
      </c>
      <c r="F31" s="50" t="s">
        <v>145</v>
      </c>
      <c r="G31" s="63" t="s">
        <v>146</v>
      </c>
      <c r="H31" s="50">
        <v>12057</v>
      </c>
      <c r="J31" s="67"/>
      <c r="K31" s="68"/>
    </row>
    <row r="32" spans="1:11" x14ac:dyDescent="0.35">
      <c r="G32" s="50" t="s">
        <v>147</v>
      </c>
      <c r="H32" s="50">
        <v>75</v>
      </c>
    </row>
    <row r="33" spans="6:11" x14ac:dyDescent="0.35">
      <c r="G33" s="50" t="s">
        <v>148</v>
      </c>
      <c r="H33" s="50">
        <v>112</v>
      </c>
    </row>
    <row r="34" spans="6:11" x14ac:dyDescent="0.35">
      <c r="F34" s="50" t="s">
        <v>149</v>
      </c>
      <c r="G34" s="63" t="s">
        <v>146</v>
      </c>
      <c r="H34" s="50">
        <v>20516</v>
      </c>
    </row>
    <row r="35" spans="6:11" x14ac:dyDescent="0.35">
      <c r="G35" s="50" t="s">
        <v>147</v>
      </c>
      <c r="H35" s="50">
        <v>205</v>
      </c>
    </row>
    <row r="36" spans="6:11" x14ac:dyDescent="0.35">
      <c r="G36" s="50" t="s">
        <v>148</v>
      </c>
      <c r="H36" s="50">
        <v>265</v>
      </c>
    </row>
    <row r="37" spans="6:11" x14ac:dyDescent="0.35">
      <c r="F37" s="69" t="s">
        <v>150</v>
      </c>
      <c r="G37" s="69"/>
      <c r="H37" s="69">
        <f>H31+H34</f>
        <v>32573</v>
      </c>
    </row>
    <row r="38" spans="6:11" x14ac:dyDescent="0.35">
      <c r="J38" s="70"/>
      <c r="K38" s="70"/>
    </row>
  </sheetData>
  <mergeCells count="2">
    <mergeCell ref="B2:C2"/>
    <mergeCell ref="E2:F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92787-1469-4BDA-BDA7-D9C98D5885AE}">
  <sheetPr>
    <tabColor rgb="FF00B050"/>
  </sheetPr>
  <dimension ref="A2:IF44"/>
  <sheetViews>
    <sheetView workbookViewId="0"/>
  </sheetViews>
  <sheetFormatPr defaultColWidth="9" defaultRowHeight="15" x14ac:dyDescent="0.25"/>
  <cols>
    <col min="1" max="1" width="5.1796875" style="129" customWidth="1"/>
    <col min="2" max="2" width="13.81640625" style="129" customWidth="1"/>
    <col min="3" max="3" width="15.36328125" style="129" customWidth="1"/>
    <col min="4" max="4" width="12.81640625" style="129" customWidth="1"/>
    <col min="5" max="5" width="9" style="129"/>
    <col min="6" max="6" width="12.81640625" style="129" customWidth="1"/>
    <col min="7" max="7" width="6.36328125" style="129" bestFit="1" customWidth="1"/>
    <col min="8" max="8" width="11.36328125" style="129" customWidth="1"/>
    <col min="9" max="9" width="9.6328125" style="129" bestFit="1" customWidth="1"/>
    <col min="10" max="240" width="9" style="129"/>
    <col min="241" max="16384" width="9" style="105"/>
  </cols>
  <sheetData>
    <row r="2" spans="1:240" ht="15.5" thickBot="1" x14ac:dyDescent="0.3">
      <c r="A2" s="133"/>
      <c r="B2" s="244" t="s">
        <v>185</v>
      </c>
      <c r="C2" s="245"/>
      <c r="D2" s="133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</row>
    <row r="3" spans="1:240" ht="15.5" thickBot="1" x14ac:dyDescent="0.4">
      <c r="A3" s="156" t="s">
        <v>4</v>
      </c>
      <c r="B3" s="157" t="s">
        <v>5</v>
      </c>
      <c r="C3" s="157" t="s">
        <v>188</v>
      </c>
      <c r="D3" s="157" t="s">
        <v>189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</row>
    <row r="4" spans="1:240" x14ac:dyDescent="0.35">
      <c r="A4" s="158"/>
      <c r="B4" s="138">
        <f>'[2] Project Cost'!B4</f>
        <v>2022</v>
      </c>
      <c r="C4" s="144">
        <f>'Initial Project Cost'!C4</f>
        <v>745889.87</v>
      </c>
      <c r="D4" s="154"/>
      <c r="F4" s="129" t="s">
        <v>199</v>
      </c>
      <c r="G4" s="159">
        <v>100</v>
      </c>
      <c r="H4" s="140" t="s">
        <v>224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</row>
    <row r="5" spans="1:240" x14ac:dyDescent="0.35">
      <c r="A5" s="158"/>
      <c r="B5" s="138">
        <f>'[2] Project Cost'!B5</f>
        <v>2023</v>
      </c>
      <c r="C5" s="144">
        <f>'Initial Project Cost'!C5</f>
        <v>5037860.13</v>
      </c>
      <c r="D5" s="154"/>
      <c r="F5" s="140" t="s">
        <v>246</v>
      </c>
      <c r="H5" s="140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</row>
    <row r="6" spans="1:240" x14ac:dyDescent="0.35">
      <c r="A6" s="158"/>
      <c r="B6" s="138">
        <f>'[2] Project Cost'!B6</f>
        <v>2024</v>
      </c>
      <c r="C6" s="144">
        <f>'Initial Project Cost'!C6</f>
        <v>9067500</v>
      </c>
      <c r="D6" s="154"/>
      <c r="I6" s="160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</row>
    <row r="7" spans="1:240" x14ac:dyDescent="0.35">
      <c r="A7" s="158">
        <v>1</v>
      </c>
      <c r="B7" s="138">
        <f>'[2] Project Cost'!B7</f>
        <v>2025</v>
      </c>
      <c r="C7" s="144">
        <f>'Initial Project Cost'!C7</f>
        <v>4533750</v>
      </c>
      <c r="D7" s="154"/>
      <c r="I7" s="160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</row>
    <row r="8" spans="1:240" x14ac:dyDescent="0.35">
      <c r="A8" s="158">
        <v>2</v>
      </c>
      <c r="B8" s="138">
        <f>'[2] Project Cost'!B8</f>
        <v>2026</v>
      </c>
      <c r="C8" s="144"/>
      <c r="D8" s="154">
        <v>0</v>
      </c>
      <c r="I8" s="160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</row>
    <row r="9" spans="1:240" x14ac:dyDescent="0.35">
      <c r="A9" s="158">
        <v>3</v>
      </c>
      <c r="B9" s="138">
        <f>'[2] Project Cost'!B9</f>
        <v>2027</v>
      </c>
      <c r="C9" s="144"/>
      <c r="D9" s="154">
        <v>0</v>
      </c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</row>
    <row r="10" spans="1:240" x14ac:dyDescent="0.35">
      <c r="A10" s="158">
        <v>4</v>
      </c>
      <c r="B10" s="138">
        <f>'[2] Project Cost'!B10</f>
        <v>2028</v>
      </c>
      <c r="C10" s="144"/>
      <c r="D10" s="154">
        <v>0</v>
      </c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</row>
    <row r="11" spans="1:240" x14ac:dyDescent="0.35">
      <c r="A11" s="158">
        <v>5</v>
      </c>
      <c r="B11" s="138">
        <f>'[2] Project Cost'!B11</f>
        <v>2029</v>
      </c>
      <c r="C11" s="144"/>
      <c r="D11" s="154">
        <v>0</v>
      </c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</row>
    <row r="12" spans="1:240" x14ac:dyDescent="0.35">
      <c r="A12" s="158">
        <v>6</v>
      </c>
      <c r="B12" s="138">
        <f>'[2] Project Cost'!B12</f>
        <v>2030</v>
      </c>
      <c r="C12" s="144"/>
      <c r="D12" s="154">
        <v>0</v>
      </c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</row>
    <row r="13" spans="1:240" x14ac:dyDescent="0.35">
      <c r="A13" s="158">
        <v>7</v>
      </c>
      <c r="B13" s="138">
        <f>'[2] Project Cost'!B13</f>
        <v>2031</v>
      </c>
      <c r="C13" s="144"/>
      <c r="D13" s="154">
        <v>0</v>
      </c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</row>
    <row r="14" spans="1:240" x14ac:dyDescent="0.35">
      <c r="A14" s="158">
        <v>8</v>
      </c>
      <c r="B14" s="138">
        <f>'[2] Project Cost'!B14</f>
        <v>2032</v>
      </c>
      <c r="C14" s="144"/>
      <c r="D14" s="154">
        <v>0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</row>
    <row r="15" spans="1:240" x14ac:dyDescent="0.35">
      <c r="A15" s="158">
        <v>9</v>
      </c>
      <c r="B15" s="138">
        <f>'[2] Project Cost'!B15</f>
        <v>2033</v>
      </c>
      <c r="C15" s="145"/>
      <c r="D15" s="154">
        <v>0</v>
      </c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</row>
    <row r="16" spans="1:240" x14ac:dyDescent="0.35">
      <c r="A16" s="158">
        <v>10</v>
      </c>
      <c r="B16" s="138">
        <f>'[2] Project Cost'!B16</f>
        <v>2034</v>
      </c>
      <c r="C16" s="145"/>
      <c r="D16" s="154">
        <v>0</v>
      </c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</row>
    <row r="17" spans="1:240" ht="14.5" x14ac:dyDescent="0.35">
      <c r="A17" s="158">
        <v>11</v>
      </c>
      <c r="B17" s="138">
        <f>'[2] Project Cost'!B17</f>
        <v>2035</v>
      </c>
      <c r="C17" s="145"/>
      <c r="D17" s="154">
        <v>0</v>
      </c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</row>
    <row r="18" spans="1:240" ht="14.5" x14ac:dyDescent="0.35">
      <c r="A18" s="158">
        <v>12</v>
      </c>
      <c r="B18" s="138">
        <f>'[2] Project Cost'!B18</f>
        <v>2036</v>
      </c>
      <c r="C18" s="145"/>
      <c r="D18" s="154">
        <v>0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</row>
    <row r="19" spans="1:240" ht="14.5" x14ac:dyDescent="0.35">
      <c r="A19" s="158">
        <v>13</v>
      </c>
      <c r="B19" s="138">
        <f>'[2] Project Cost'!B19</f>
        <v>2037</v>
      </c>
      <c r="C19" s="145"/>
      <c r="D19" s="154">
        <v>0</v>
      </c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</row>
    <row r="20" spans="1:240" ht="14.5" x14ac:dyDescent="0.35">
      <c r="A20" s="158">
        <v>14</v>
      </c>
      <c r="B20" s="138">
        <f>'[2] Project Cost'!B20</f>
        <v>2038</v>
      </c>
      <c r="C20" s="145"/>
      <c r="D20" s="154">
        <v>0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105"/>
      <c r="FD20" s="105"/>
      <c r="FE20" s="105"/>
      <c r="FF20" s="105"/>
      <c r="FG20" s="105"/>
      <c r="FH20" s="105"/>
      <c r="FI20" s="105"/>
      <c r="FJ20" s="105"/>
      <c r="FK20" s="105"/>
      <c r="FL20" s="105"/>
      <c r="FM20" s="105"/>
      <c r="FN20" s="105"/>
      <c r="FO20" s="105"/>
      <c r="FP20" s="105"/>
      <c r="FQ20" s="105"/>
      <c r="FR20" s="105"/>
      <c r="FS20" s="105"/>
      <c r="FT20" s="105"/>
      <c r="FU20" s="105"/>
      <c r="FV20" s="105"/>
      <c r="FW20" s="105"/>
      <c r="FX20" s="105"/>
      <c r="FY20" s="105"/>
      <c r="FZ20" s="105"/>
      <c r="GA20" s="105"/>
      <c r="GB20" s="105"/>
      <c r="GC20" s="105"/>
      <c r="GD20" s="105"/>
      <c r="GE20" s="105"/>
      <c r="GF20" s="105"/>
      <c r="GG20" s="105"/>
      <c r="GH20" s="105"/>
      <c r="GI20" s="105"/>
      <c r="GJ20" s="105"/>
      <c r="GK20" s="105"/>
      <c r="GL20" s="105"/>
      <c r="GM20" s="105"/>
      <c r="GN20" s="105"/>
      <c r="GO20" s="105"/>
      <c r="GP20" s="105"/>
      <c r="GQ20" s="105"/>
      <c r="GR20" s="105"/>
      <c r="GS20" s="105"/>
      <c r="GT20" s="105"/>
      <c r="GU20" s="105"/>
      <c r="GV20" s="105"/>
      <c r="GW20" s="105"/>
      <c r="GX20" s="105"/>
      <c r="GY20" s="105"/>
      <c r="GZ20" s="105"/>
      <c r="HA20" s="105"/>
      <c r="HB20" s="105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  <c r="HN20" s="105"/>
      <c r="HO20" s="105"/>
      <c r="HP20" s="105"/>
      <c r="HQ20" s="105"/>
      <c r="HR20" s="105"/>
      <c r="HS20" s="105"/>
      <c r="HT20" s="105"/>
      <c r="HU20" s="105"/>
      <c r="HV20" s="105"/>
      <c r="HW20" s="105"/>
      <c r="HX20" s="105"/>
      <c r="HY20" s="105"/>
      <c r="HZ20" s="105"/>
      <c r="IA20" s="105"/>
      <c r="IB20" s="105"/>
      <c r="IC20" s="105"/>
      <c r="ID20" s="105"/>
      <c r="IE20" s="105"/>
      <c r="IF20" s="105"/>
    </row>
    <row r="21" spans="1:240" ht="14.5" x14ac:dyDescent="0.35">
      <c r="A21" s="158">
        <v>15</v>
      </c>
      <c r="B21" s="138">
        <f>'[2] Project Cost'!B21</f>
        <v>2039</v>
      </c>
      <c r="C21" s="145"/>
      <c r="D21" s="154">
        <v>0</v>
      </c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</row>
    <row r="22" spans="1:240" ht="14.5" x14ac:dyDescent="0.35">
      <c r="A22" s="158">
        <v>16</v>
      </c>
      <c r="B22" s="138">
        <f>'[2] Project Cost'!B22</f>
        <v>2040</v>
      </c>
      <c r="C22" s="147"/>
      <c r="D22" s="154">
        <v>0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  <c r="HN22" s="105"/>
      <c r="HO22" s="105"/>
      <c r="HP22" s="105"/>
      <c r="HQ22" s="105"/>
      <c r="HR22" s="105"/>
      <c r="HS22" s="105"/>
      <c r="HT22" s="105"/>
      <c r="HU22" s="105"/>
      <c r="HV22" s="105"/>
      <c r="HW22" s="105"/>
      <c r="HX22" s="105"/>
      <c r="HY22" s="105"/>
      <c r="HZ22" s="105"/>
      <c r="IA22" s="105"/>
      <c r="IB22" s="105"/>
      <c r="IC22" s="105"/>
      <c r="ID22" s="105"/>
      <c r="IE22" s="105"/>
      <c r="IF22" s="105"/>
    </row>
    <row r="23" spans="1:240" ht="14.5" x14ac:dyDescent="0.35">
      <c r="A23" s="158">
        <v>17</v>
      </c>
      <c r="B23" s="138">
        <f>'[2] Project Cost'!B23</f>
        <v>2041</v>
      </c>
      <c r="C23" s="147"/>
      <c r="D23" s="154">
        <v>0</v>
      </c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  <c r="HK23" s="105"/>
      <c r="HL23" s="105"/>
      <c r="HM23" s="105"/>
      <c r="HN23" s="105"/>
      <c r="HO23" s="105"/>
      <c r="HP23" s="105"/>
      <c r="HQ23" s="105"/>
      <c r="HR23" s="105"/>
      <c r="HS23" s="105"/>
      <c r="HT23" s="105"/>
      <c r="HU23" s="105"/>
      <c r="HV23" s="105"/>
      <c r="HW23" s="105"/>
      <c r="HX23" s="105"/>
      <c r="HY23" s="105"/>
      <c r="HZ23" s="105"/>
      <c r="IA23" s="105"/>
      <c r="IB23" s="105"/>
      <c r="IC23" s="105"/>
      <c r="ID23" s="105"/>
      <c r="IE23" s="105"/>
      <c r="IF23" s="105"/>
    </row>
    <row r="24" spans="1:240" ht="14.5" x14ac:dyDescent="0.35">
      <c r="A24" s="158">
        <v>18</v>
      </c>
      <c r="B24" s="138">
        <f>'[2] Project Cost'!B24</f>
        <v>2042</v>
      </c>
      <c r="C24" s="147"/>
      <c r="D24" s="154">
        <v>0</v>
      </c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  <c r="HK24" s="105"/>
      <c r="HL24" s="105"/>
      <c r="HM24" s="105"/>
      <c r="HN24" s="105"/>
      <c r="HO24" s="105"/>
      <c r="HP24" s="105"/>
      <c r="HQ24" s="105"/>
      <c r="HR24" s="105"/>
      <c r="HS24" s="105"/>
      <c r="HT24" s="105"/>
      <c r="HU24" s="105"/>
      <c r="HV24" s="105"/>
      <c r="HW24" s="105"/>
      <c r="HX24" s="105"/>
      <c r="HY24" s="105"/>
      <c r="HZ24" s="105"/>
      <c r="IA24" s="105"/>
      <c r="IB24" s="105"/>
      <c r="IC24" s="105"/>
      <c r="ID24" s="105"/>
      <c r="IE24" s="105"/>
      <c r="IF24" s="105"/>
    </row>
    <row r="25" spans="1:240" ht="14.5" x14ac:dyDescent="0.35">
      <c r="A25" s="158">
        <v>19</v>
      </c>
      <c r="B25" s="138">
        <f>'[2] Project Cost'!B25</f>
        <v>2043</v>
      </c>
      <c r="C25" s="147"/>
      <c r="D25" s="154">
        <v>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  <c r="HK25" s="105"/>
      <c r="HL25" s="105"/>
      <c r="HM25" s="105"/>
      <c r="HN25" s="105"/>
      <c r="HO25" s="105"/>
      <c r="HP25" s="105"/>
      <c r="HQ25" s="105"/>
      <c r="HR25" s="105"/>
      <c r="HS25" s="105"/>
      <c r="HT25" s="105"/>
      <c r="HU25" s="105"/>
      <c r="HV25" s="105"/>
      <c r="HW25" s="105"/>
      <c r="HX25" s="105"/>
      <c r="HY25" s="105"/>
      <c r="HZ25" s="105"/>
      <c r="IA25" s="105"/>
      <c r="IB25" s="105"/>
      <c r="IC25" s="105"/>
      <c r="ID25" s="105"/>
      <c r="IE25" s="105"/>
      <c r="IF25" s="105"/>
    </row>
    <row r="26" spans="1:240" ht="14.5" x14ac:dyDescent="0.35">
      <c r="A26" s="158">
        <v>20</v>
      </c>
      <c r="B26" s="138">
        <f>'[2] Project Cost'!B26</f>
        <v>2044</v>
      </c>
      <c r="C26" s="147"/>
      <c r="D26" s="154">
        <v>0</v>
      </c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  <c r="HN26" s="105"/>
      <c r="HO26" s="105"/>
      <c r="HP26" s="105"/>
      <c r="HQ26" s="105"/>
      <c r="HR26" s="105"/>
      <c r="HS26" s="105"/>
      <c r="HT26" s="105"/>
      <c r="HU26" s="105"/>
      <c r="HV26" s="105"/>
      <c r="HW26" s="105"/>
      <c r="HX26" s="105"/>
      <c r="HY26" s="105"/>
      <c r="HZ26" s="105"/>
      <c r="IA26" s="105"/>
      <c r="IB26" s="105"/>
      <c r="IC26" s="105"/>
      <c r="ID26" s="105"/>
      <c r="IE26" s="105"/>
      <c r="IF26" s="105"/>
    </row>
    <row r="27" spans="1:240" ht="14.5" x14ac:dyDescent="0.35">
      <c r="A27" s="158">
        <v>21</v>
      </c>
      <c r="B27" s="138">
        <f>'[2] Project Cost'!B27</f>
        <v>2045</v>
      </c>
      <c r="C27" s="147"/>
      <c r="D27" s="154">
        <v>0</v>
      </c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  <c r="HN27" s="105"/>
      <c r="HO27" s="105"/>
      <c r="HP27" s="105"/>
      <c r="HQ27" s="105"/>
      <c r="HR27" s="105"/>
      <c r="HS27" s="105"/>
      <c r="HT27" s="105"/>
      <c r="HU27" s="105"/>
      <c r="HV27" s="105"/>
      <c r="HW27" s="105"/>
      <c r="HX27" s="105"/>
      <c r="HY27" s="105"/>
      <c r="HZ27" s="105"/>
      <c r="IA27" s="105"/>
      <c r="IB27" s="105"/>
      <c r="IC27" s="105"/>
      <c r="ID27" s="105"/>
      <c r="IE27" s="105"/>
      <c r="IF27" s="105"/>
    </row>
    <row r="28" spans="1:240" ht="14.5" x14ac:dyDescent="0.35">
      <c r="A28" s="158">
        <v>22</v>
      </c>
      <c r="B28" s="138">
        <f>'[2] Project Cost'!B28</f>
        <v>2046</v>
      </c>
      <c r="C28" s="147"/>
      <c r="D28" s="154">
        <v>0</v>
      </c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105"/>
      <c r="GH28" s="105"/>
      <c r="GI28" s="105"/>
      <c r="GJ28" s="105"/>
      <c r="GK28" s="105"/>
      <c r="GL28" s="105"/>
      <c r="GM28" s="105"/>
      <c r="GN28" s="105"/>
      <c r="GO28" s="105"/>
      <c r="GP28" s="105"/>
      <c r="GQ28" s="105"/>
      <c r="GR28" s="105"/>
      <c r="GS28" s="105"/>
      <c r="GT28" s="105"/>
      <c r="GU28" s="105"/>
      <c r="GV28" s="105"/>
      <c r="GW28" s="105"/>
      <c r="GX28" s="105"/>
      <c r="GY28" s="105"/>
      <c r="GZ28" s="105"/>
      <c r="HA28" s="105"/>
      <c r="HB28" s="105"/>
      <c r="HC28" s="105"/>
      <c r="HD28" s="105"/>
      <c r="HE28" s="105"/>
      <c r="HF28" s="105"/>
      <c r="HG28" s="105"/>
      <c r="HH28" s="105"/>
      <c r="HI28" s="105"/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5"/>
      <c r="HU28" s="105"/>
      <c r="HV28" s="105"/>
      <c r="HW28" s="105"/>
      <c r="HX28" s="105"/>
      <c r="HY28" s="105"/>
      <c r="HZ28" s="105"/>
      <c r="IA28" s="105"/>
      <c r="IB28" s="105"/>
      <c r="IC28" s="105"/>
      <c r="ID28" s="105"/>
      <c r="IE28" s="105"/>
      <c r="IF28" s="105"/>
    </row>
    <row r="29" spans="1:240" ht="14.5" x14ac:dyDescent="0.35">
      <c r="A29" s="158">
        <v>23</v>
      </c>
      <c r="B29" s="138">
        <f>'[2] Project Cost'!B29</f>
        <v>2047</v>
      </c>
      <c r="C29" s="147"/>
      <c r="D29" s="154">
        <v>0</v>
      </c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5"/>
      <c r="ET29" s="105"/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  <c r="FU29" s="105"/>
      <c r="FV29" s="105"/>
      <c r="FW29" s="105"/>
      <c r="FX29" s="105"/>
      <c r="FY29" s="105"/>
      <c r="FZ29" s="105"/>
      <c r="GA29" s="105"/>
      <c r="GB29" s="105"/>
      <c r="GC29" s="105"/>
      <c r="GD29" s="105"/>
      <c r="GE29" s="105"/>
      <c r="GF29" s="105"/>
      <c r="GG29" s="105"/>
      <c r="GH29" s="105"/>
      <c r="GI29" s="105"/>
      <c r="GJ29" s="105"/>
      <c r="GK29" s="105"/>
      <c r="GL29" s="105"/>
      <c r="GM29" s="105"/>
      <c r="GN29" s="105"/>
      <c r="GO29" s="105"/>
      <c r="GP29" s="105"/>
      <c r="GQ29" s="105"/>
      <c r="GR29" s="105"/>
      <c r="GS29" s="105"/>
      <c r="GT29" s="105"/>
      <c r="GU29" s="105"/>
      <c r="GV29" s="105"/>
      <c r="GW29" s="105"/>
      <c r="GX29" s="105"/>
      <c r="GY29" s="105"/>
      <c r="GZ29" s="105"/>
      <c r="HA29" s="105"/>
      <c r="HB29" s="105"/>
      <c r="HC29" s="105"/>
      <c r="HD29" s="105"/>
      <c r="HE29" s="105"/>
      <c r="HF29" s="105"/>
      <c r="HG29" s="105"/>
      <c r="HH29" s="105"/>
      <c r="HI29" s="105"/>
      <c r="HJ29" s="105"/>
      <c r="HK29" s="105"/>
      <c r="HL29" s="105"/>
      <c r="HM29" s="105"/>
      <c r="HN29" s="105"/>
      <c r="HO29" s="105"/>
      <c r="HP29" s="105"/>
      <c r="HQ29" s="105"/>
      <c r="HR29" s="105"/>
      <c r="HS29" s="105"/>
      <c r="HT29" s="105"/>
      <c r="HU29" s="105"/>
      <c r="HV29" s="105"/>
      <c r="HW29" s="105"/>
      <c r="HX29" s="105"/>
      <c r="HY29" s="105"/>
      <c r="HZ29" s="105"/>
      <c r="IA29" s="105"/>
      <c r="IB29" s="105"/>
      <c r="IC29" s="105"/>
      <c r="ID29" s="105"/>
      <c r="IE29" s="105"/>
      <c r="IF29" s="105"/>
    </row>
    <row r="30" spans="1:240" ht="14.5" x14ac:dyDescent="0.35">
      <c r="A30" s="158">
        <v>24</v>
      </c>
      <c r="B30" s="138">
        <f>'[2] Project Cost'!B30</f>
        <v>2048</v>
      </c>
      <c r="C30" s="147"/>
      <c r="D30" s="154">
        <v>0</v>
      </c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/>
      <c r="FY30" s="105"/>
      <c r="FZ30" s="105"/>
      <c r="GA30" s="105"/>
      <c r="GB30" s="105"/>
      <c r="GC30" s="105"/>
      <c r="GD30" s="105"/>
      <c r="GE30" s="105"/>
      <c r="GF30" s="105"/>
      <c r="GG30" s="105"/>
      <c r="GH30" s="105"/>
      <c r="GI30" s="105"/>
      <c r="GJ30" s="105"/>
      <c r="GK30" s="105"/>
      <c r="GL30" s="105"/>
      <c r="GM30" s="105"/>
      <c r="GN30" s="105"/>
      <c r="GO30" s="105"/>
      <c r="GP30" s="105"/>
      <c r="GQ30" s="105"/>
      <c r="GR30" s="105"/>
      <c r="GS30" s="105"/>
      <c r="GT30" s="105"/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/>
      <c r="HI30" s="105"/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5"/>
      <c r="HU30" s="105"/>
      <c r="HV30" s="105"/>
      <c r="HW30" s="105"/>
      <c r="HX30" s="105"/>
      <c r="HY30" s="105"/>
      <c r="HZ30" s="105"/>
      <c r="IA30" s="105"/>
      <c r="IB30" s="105"/>
      <c r="IC30" s="105"/>
      <c r="ID30" s="105"/>
      <c r="IE30" s="105"/>
      <c r="IF30" s="105"/>
    </row>
    <row r="31" spans="1:240" ht="14.5" x14ac:dyDescent="0.35">
      <c r="A31" s="158">
        <v>25</v>
      </c>
      <c r="B31" s="138">
        <f>'[2] Project Cost'!B31</f>
        <v>2049</v>
      </c>
      <c r="C31" s="147"/>
      <c r="D31" s="154">
        <v>0</v>
      </c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5"/>
      <c r="HU31" s="105"/>
      <c r="HV31" s="105"/>
      <c r="HW31" s="105"/>
      <c r="HX31" s="105"/>
      <c r="HY31" s="105"/>
      <c r="HZ31" s="105"/>
      <c r="IA31" s="105"/>
      <c r="IB31" s="105"/>
      <c r="IC31" s="105"/>
      <c r="ID31" s="105"/>
      <c r="IE31" s="105"/>
      <c r="IF31" s="105"/>
    </row>
    <row r="32" spans="1:240" ht="14.5" x14ac:dyDescent="0.35">
      <c r="A32" s="158">
        <v>26</v>
      </c>
      <c r="B32" s="138">
        <f>'[2] Project Cost'!B32</f>
        <v>2050</v>
      </c>
      <c r="C32" s="147"/>
      <c r="D32" s="154">
        <v>0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105"/>
      <c r="GH32" s="105"/>
      <c r="GI32" s="105"/>
      <c r="GJ32" s="105"/>
      <c r="GK32" s="105"/>
      <c r="GL32" s="105"/>
      <c r="GM32" s="105"/>
      <c r="GN32" s="105"/>
      <c r="GO32" s="105"/>
      <c r="GP32" s="105"/>
      <c r="GQ32" s="105"/>
      <c r="GR32" s="105"/>
      <c r="GS32" s="105"/>
      <c r="GT32" s="105"/>
      <c r="GU32" s="105"/>
      <c r="GV32" s="105"/>
      <c r="GW32" s="105"/>
      <c r="GX32" s="105"/>
      <c r="GY32" s="105"/>
      <c r="GZ32" s="105"/>
      <c r="HA32" s="105"/>
      <c r="HB32" s="105"/>
      <c r="HC32" s="105"/>
      <c r="HD32" s="105"/>
      <c r="HE32" s="105"/>
      <c r="HF32" s="105"/>
      <c r="HG32" s="105"/>
      <c r="HH32" s="105"/>
      <c r="HI32" s="105"/>
      <c r="HJ32" s="105"/>
      <c r="HK32" s="105"/>
      <c r="HL32" s="105"/>
      <c r="HM32" s="105"/>
      <c r="HN32" s="105"/>
      <c r="HO32" s="105"/>
      <c r="HP32" s="105"/>
      <c r="HQ32" s="105"/>
      <c r="HR32" s="105"/>
      <c r="HS32" s="105"/>
      <c r="HT32" s="105"/>
      <c r="HU32" s="105"/>
      <c r="HV32" s="105"/>
      <c r="HW32" s="105"/>
      <c r="HX32" s="105"/>
      <c r="HY32" s="105"/>
      <c r="HZ32" s="105"/>
      <c r="IA32" s="105"/>
      <c r="IB32" s="105"/>
      <c r="IC32" s="105"/>
      <c r="ID32" s="105"/>
      <c r="IE32" s="105"/>
      <c r="IF32" s="105"/>
    </row>
    <row r="33" spans="1:240" x14ac:dyDescent="0.35">
      <c r="A33" s="158">
        <v>27</v>
      </c>
      <c r="B33" s="138">
        <f>'[2] Project Cost'!B33</f>
        <v>2051</v>
      </c>
      <c r="C33" s="147"/>
      <c r="D33" s="154">
        <v>0</v>
      </c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5"/>
      <c r="DN33" s="105"/>
      <c r="DO33" s="105"/>
      <c r="DP33" s="105"/>
      <c r="DQ33" s="105"/>
      <c r="DR33" s="105"/>
      <c r="DS33" s="105"/>
      <c r="DT33" s="105"/>
      <c r="DU33" s="105"/>
      <c r="DV33" s="105"/>
      <c r="DW33" s="105"/>
      <c r="DX33" s="105"/>
      <c r="DY33" s="105"/>
      <c r="DZ33" s="105"/>
      <c r="EA33" s="105"/>
      <c r="EB33" s="105"/>
      <c r="EC33" s="105"/>
      <c r="ED33" s="105"/>
      <c r="EE33" s="105"/>
      <c r="EF33" s="105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05"/>
      <c r="FA33" s="105"/>
      <c r="FB33" s="105"/>
      <c r="FC33" s="105"/>
      <c r="FD33" s="105"/>
      <c r="FE33" s="105"/>
      <c r="FF33" s="105"/>
      <c r="FG33" s="105"/>
      <c r="FH33" s="105"/>
      <c r="FI33" s="105"/>
      <c r="FJ33" s="105"/>
      <c r="FK33" s="105"/>
      <c r="FL33" s="105"/>
      <c r="FM33" s="105"/>
      <c r="FN33" s="105"/>
      <c r="FO33" s="105"/>
      <c r="FP33" s="105"/>
      <c r="FQ33" s="105"/>
      <c r="FR33" s="105"/>
      <c r="FS33" s="105"/>
      <c r="FT33" s="105"/>
      <c r="FU33" s="105"/>
      <c r="FV33" s="105"/>
      <c r="FW33" s="105"/>
      <c r="FX33" s="105"/>
      <c r="FY33" s="105"/>
      <c r="FZ33" s="105"/>
      <c r="GA33" s="105"/>
      <c r="GB33" s="105"/>
      <c r="GC33" s="105"/>
      <c r="GD33" s="105"/>
      <c r="GE33" s="105"/>
      <c r="GF33" s="105"/>
      <c r="GG33" s="105"/>
      <c r="GH33" s="105"/>
      <c r="GI33" s="105"/>
      <c r="GJ33" s="105"/>
      <c r="GK33" s="105"/>
      <c r="GL33" s="105"/>
      <c r="GM33" s="105"/>
      <c r="GN33" s="105"/>
      <c r="GO33" s="105"/>
      <c r="GP33" s="105"/>
      <c r="GQ33" s="105"/>
      <c r="GR33" s="105"/>
      <c r="GS33" s="105"/>
      <c r="GT33" s="105"/>
      <c r="GU33" s="105"/>
      <c r="GV33" s="105"/>
      <c r="GW33" s="105"/>
      <c r="GX33" s="105"/>
      <c r="GY33" s="105"/>
      <c r="GZ33" s="105"/>
      <c r="HA33" s="105"/>
      <c r="HB33" s="105"/>
      <c r="HC33" s="105"/>
      <c r="HD33" s="105"/>
      <c r="HE33" s="105"/>
      <c r="HF33" s="105"/>
      <c r="HG33" s="105"/>
      <c r="HH33" s="105"/>
      <c r="HI33" s="105"/>
      <c r="HJ33" s="105"/>
      <c r="HK33" s="105"/>
      <c r="HL33" s="105"/>
      <c r="HM33" s="105"/>
      <c r="HN33" s="105"/>
      <c r="HO33" s="105"/>
      <c r="HP33" s="105"/>
      <c r="HQ33" s="105"/>
      <c r="HR33" s="105"/>
      <c r="HS33" s="105"/>
      <c r="HT33" s="105"/>
      <c r="HU33" s="105"/>
      <c r="HV33" s="105"/>
      <c r="HW33" s="105"/>
      <c r="HX33" s="105"/>
      <c r="HY33" s="105"/>
      <c r="HZ33" s="105"/>
      <c r="IA33" s="105"/>
      <c r="IB33" s="105"/>
      <c r="IC33" s="105"/>
      <c r="ID33" s="105"/>
      <c r="IE33" s="105"/>
      <c r="IF33" s="105"/>
    </row>
    <row r="34" spans="1:240" x14ac:dyDescent="0.35">
      <c r="A34" s="158">
        <v>28</v>
      </c>
      <c r="B34" s="138">
        <f>'[2] Project Cost'!B34</f>
        <v>2052</v>
      </c>
      <c r="C34" s="147"/>
      <c r="D34" s="154">
        <v>0</v>
      </c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05"/>
      <c r="FA34" s="105"/>
      <c r="FB34" s="105"/>
      <c r="FC34" s="105"/>
      <c r="FD34" s="105"/>
      <c r="FE34" s="105"/>
      <c r="FF34" s="105"/>
      <c r="FG34" s="105"/>
      <c r="FH34" s="105"/>
      <c r="FI34" s="105"/>
      <c r="FJ34" s="105"/>
      <c r="FK34" s="105"/>
      <c r="FL34" s="105"/>
      <c r="FM34" s="105"/>
      <c r="FN34" s="105"/>
      <c r="FO34" s="105"/>
      <c r="FP34" s="105"/>
      <c r="FQ34" s="105"/>
      <c r="FR34" s="105"/>
      <c r="FS34" s="105"/>
      <c r="FT34" s="105"/>
      <c r="FU34" s="105"/>
      <c r="FV34" s="105"/>
      <c r="FW34" s="105"/>
      <c r="FX34" s="105"/>
      <c r="FY34" s="105"/>
      <c r="FZ34" s="105"/>
      <c r="GA34" s="105"/>
      <c r="GB34" s="105"/>
      <c r="GC34" s="105"/>
      <c r="GD34" s="105"/>
      <c r="GE34" s="105"/>
      <c r="GF34" s="105"/>
      <c r="GG34" s="105"/>
      <c r="GH34" s="105"/>
      <c r="GI34" s="105"/>
      <c r="GJ34" s="105"/>
      <c r="GK34" s="105"/>
      <c r="GL34" s="105"/>
      <c r="GM34" s="105"/>
      <c r="GN34" s="105"/>
      <c r="GO34" s="105"/>
      <c r="GP34" s="105"/>
      <c r="GQ34" s="105"/>
      <c r="GR34" s="105"/>
      <c r="GS34" s="105"/>
      <c r="GT34" s="105"/>
      <c r="GU34" s="105"/>
      <c r="GV34" s="105"/>
      <c r="GW34" s="105"/>
      <c r="GX34" s="105"/>
      <c r="GY34" s="105"/>
      <c r="GZ34" s="105"/>
      <c r="HA34" s="105"/>
      <c r="HB34" s="105"/>
      <c r="HC34" s="105"/>
      <c r="HD34" s="105"/>
      <c r="HE34" s="105"/>
      <c r="HF34" s="105"/>
      <c r="HG34" s="105"/>
      <c r="HH34" s="105"/>
      <c r="HI34" s="105"/>
      <c r="HJ34" s="105"/>
      <c r="HK34" s="105"/>
      <c r="HL34" s="105"/>
      <c r="HM34" s="105"/>
      <c r="HN34" s="105"/>
      <c r="HO34" s="105"/>
      <c r="HP34" s="105"/>
      <c r="HQ34" s="105"/>
      <c r="HR34" s="105"/>
      <c r="HS34" s="105"/>
      <c r="HT34" s="105"/>
      <c r="HU34" s="105"/>
      <c r="HV34" s="105"/>
      <c r="HW34" s="105"/>
      <c r="HX34" s="105"/>
      <c r="HY34" s="105"/>
      <c r="HZ34" s="105"/>
      <c r="IA34" s="105"/>
      <c r="IB34" s="105"/>
      <c r="IC34" s="105"/>
      <c r="ID34" s="105"/>
      <c r="IE34" s="105"/>
      <c r="IF34" s="105"/>
    </row>
    <row r="35" spans="1:240" ht="15.5" thickBot="1" x14ac:dyDescent="0.4">
      <c r="A35" s="158">
        <v>29</v>
      </c>
      <c r="B35" s="138">
        <f>'[2] Project Cost'!B35</f>
        <v>2053</v>
      </c>
      <c r="C35" s="147"/>
      <c r="D35" s="154">
        <v>0</v>
      </c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105"/>
      <c r="DQ35" s="105"/>
      <c r="DR35" s="105"/>
      <c r="DS35" s="105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5"/>
      <c r="ET35" s="105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105"/>
      <c r="FG35" s="105"/>
      <c r="FH35" s="105"/>
      <c r="FI35" s="105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105"/>
      <c r="FU35" s="105"/>
      <c r="FV35" s="105"/>
      <c r="FW35" s="105"/>
      <c r="FX35" s="105"/>
      <c r="FY35" s="105"/>
      <c r="FZ35" s="105"/>
      <c r="GA35" s="105"/>
      <c r="GB35" s="105"/>
      <c r="GC35" s="105"/>
      <c r="GD35" s="105"/>
      <c r="GE35" s="105"/>
      <c r="GF35" s="105"/>
      <c r="GG35" s="105"/>
      <c r="GH35" s="105"/>
      <c r="GI35" s="105"/>
      <c r="GJ35" s="105"/>
      <c r="GK35" s="105"/>
      <c r="GL35" s="105"/>
      <c r="GM35" s="105"/>
      <c r="GN35" s="105"/>
      <c r="GO35" s="105"/>
      <c r="GP35" s="105"/>
      <c r="GQ35" s="105"/>
      <c r="GR35" s="105"/>
      <c r="GS35" s="105"/>
      <c r="GT35" s="105"/>
      <c r="GU35" s="105"/>
      <c r="GV35" s="105"/>
      <c r="GW35" s="105"/>
      <c r="GX35" s="105"/>
      <c r="GY35" s="105"/>
      <c r="GZ35" s="105"/>
      <c r="HA35" s="105"/>
      <c r="HB35" s="105"/>
      <c r="HC35" s="105"/>
      <c r="HD35" s="105"/>
      <c r="HE35" s="105"/>
      <c r="HF35" s="105"/>
      <c r="HG35" s="105"/>
      <c r="HH35" s="105"/>
      <c r="HI35" s="105"/>
      <c r="HJ35" s="105"/>
      <c r="HK35" s="105"/>
      <c r="HL35" s="105"/>
      <c r="HM35" s="105"/>
      <c r="HN35" s="105"/>
      <c r="HO35" s="105"/>
      <c r="HP35" s="105"/>
      <c r="HQ35" s="105"/>
      <c r="HR35" s="105"/>
      <c r="HS35" s="105"/>
      <c r="HT35" s="105"/>
      <c r="HU35" s="105"/>
      <c r="HV35" s="105"/>
      <c r="HW35" s="105"/>
      <c r="HX35" s="105"/>
      <c r="HY35" s="105"/>
      <c r="HZ35" s="105"/>
      <c r="IA35" s="105"/>
      <c r="IB35" s="105"/>
      <c r="IC35" s="105"/>
      <c r="ID35" s="105"/>
      <c r="IE35" s="105"/>
      <c r="IF35" s="105"/>
    </row>
    <row r="36" spans="1:240" ht="15.5" thickBot="1" x14ac:dyDescent="0.4">
      <c r="A36" s="158">
        <v>30</v>
      </c>
      <c r="B36" s="138">
        <v>2054</v>
      </c>
      <c r="C36" s="189">
        <f>SUM(C4:C9)*(G4-30)/G4</f>
        <v>13569500</v>
      </c>
      <c r="D36" s="190">
        <f>C36/(1+0.07)^A36</f>
        <v>1782586.0962292063</v>
      </c>
      <c r="E36" s="140" t="s">
        <v>200</v>
      </c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105"/>
      <c r="DQ36" s="105"/>
      <c r="DR36" s="105"/>
      <c r="DS36" s="105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105"/>
      <c r="FA36" s="105"/>
      <c r="FB36" s="105"/>
      <c r="FC36" s="105"/>
      <c r="FD36" s="105"/>
      <c r="FE36" s="105"/>
      <c r="FF36" s="105"/>
      <c r="FG36" s="105"/>
      <c r="FH36" s="105"/>
      <c r="FI36" s="105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105"/>
      <c r="FU36" s="105"/>
      <c r="FV36" s="105"/>
      <c r="FW36" s="105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105"/>
      <c r="GI36" s="105"/>
      <c r="GJ36" s="105"/>
      <c r="GK36" s="105"/>
      <c r="GL36" s="105"/>
      <c r="GM36" s="105"/>
      <c r="GN36" s="105"/>
      <c r="GO36" s="105"/>
      <c r="GP36" s="105"/>
      <c r="GQ36" s="105"/>
      <c r="GR36" s="105"/>
      <c r="GS36" s="105"/>
      <c r="GT36" s="105"/>
      <c r="GU36" s="105"/>
      <c r="GV36" s="105"/>
      <c r="GW36" s="105"/>
      <c r="GX36" s="105"/>
      <c r="GY36" s="105"/>
      <c r="GZ36" s="105"/>
      <c r="HA36" s="105"/>
      <c r="HB36" s="105"/>
      <c r="HC36" s="105"/>
      <c r="HD36" s="105"/>
      <c r="HE36" s="105"/>
      <c r="HF36" s="105"/>
      <c r="HG36" s="105"/>
      <c r="HH36" s="105"/>
      <c r="HI36" s="105"/>
      <c r="HJ36" s="105"/>
      <c r="HK36" s="105"/>
      <c r="HL36" s="105"/>
      <c r="HM36" s="105"/>
      <c r="HN36" s="105"/>
      <c r="HO36" s="105"/>
      <c r="HP36" s="105"/>
      <c r="HQ36" s="105"/>
      <c r="HR36" s="105"/>
      <c r="HS36" s="105"/>
      <c r="HT36" s="105"/>
      <c r="HU36" s="105"/>
      <c r="HV36" s="105"/>
      <c r="HW36" s="105"/>
      <c r="HX36" s="105"/>
      <c r="HY36" s="105"/>
      <c r="HZ36" s="105"/>
      <c r="IA36" s="105"/>
      <c r="IB36" s="105"/>
      <c r="IC36" s="105"/>
      <c r="ID36" s="105"/>
      <c r="IE36" s="105"/>
      <c r="IF36" s="105"/>
    </row>
    <row r="37" spans="1:240" x14ac:dyDescent="0.25">
      <c r="E37" s="161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105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105"/>
      <c r="DC37" s="105"/>
      <c r="DD37" s="105"/>
      <c r="DE37" s="105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105"/>
      <c r="DQ37" s="105"/>
      <c r="DR37" s="105"/>
      <c r="DS37" s="105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105"/>
      <c r="EE37" s="105"/>
      <c r="EF37" s="105"/>
      <c r="EG37" s="105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105"/>
      <c r="ES37" s="105"/>
      <c r="ET37" s="105"/>
      <c r="EU37" s="105"/>
      <c r="EV37" s="105"/>
      <c r="EW37" s="105"/>
      <c r="EX37" s="105"/>
      <c r="EY37" s="105"/>
      <c r="EZ37" s="105"/>
      <c r="FA37" s="105"/>
      <c r="FB37" s="105"/>
      <c r="FC37" s="105"/>
      <c r="FD37" s="105"/>
      <c r="FE37" s="105"/>
      <c r="FF37" s="105"/>
      <c r="FG37" s="105"/>
      <c r="FH37" s="105"/>
      <c r="FI37" s="105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105"/>
      <c r="FU37" s="105"/>
      <c r="FV37" s="105"/>
      <c r="FW37" s="105"/>
      <c r="FX37" s="105"/>
      <c r="FY37" s="105"/>
      <c r="FZ37" s="105"/>
      <c r="GA37" s="105"/>
      <c r="GB37" s="105"/>
      <c r="GC37" s="105"/>
      <c r="GD37" s="105"/>
      <c r="GE37" s="105"/>
      <c r="GF37" s="105"/>
      <c r="GG37" s="105"/>
      <c r="GH37" s="105"/>
      <c r="GI37" s="105"/>
      <c r="GJ37" s="105"/>
      <c r="GK37" s="105"/>
      <c r="GL37" s="105"/>
      <c r="GM37" s="105"/>
      <c r="GN37" s="105"/>
      <c r="GO37" s="105"/>
      <c r="GP37" s="105"/>
      <c r="GQ37" s="105"/>
      <c r="GR37" s="105"/>
      <c r="GS37" s="105"/>
      <c r="GT37" s="105"/>
      <c r="GU37" s="105"/>
      <c r="GV37" s="105"/>
      <c r="GW37" s="105"/>
      <c r="GX37" s="105"/>
      <c r="GY37" s="105"/>
      <c r="GZ37" s="105"/>
      <c r="HA37" s="105"/>
      <c r="HB37" s="105"/>
      <c r="HC37" s="105"/>
      <c r="HD37" s="105"/>
      <c r="HE37" s="105"/>
      <c r="HF37" s="105"/>
      <c r="HG37" s="105"/>
      <c r="HH37" s="105"/>
      <c r="HI37" s="105"/>
      <c r="HJ37" s="105"/>
      <c r="HK37" s="105"/>
      <c r="HL37" s="105"/>
      <c r="HM37" s="105"/>
      <c r="HN37" s="105"/>
      <c r="HO37" s="105"/>
      <c r="HP37" s="105"/>
      <c r="HQ37" s="105"/>
      <c r="HR37" s="105"/>
      <c r="HS37" s="105"/>
      <c r="HT37" s="105"/>
      <c r="HU37" s="105"/>
      <c r="HV37" s="105"/>
      <c r="HW37" s="105"/>
      <c r="HX37" s="105"/>
      <c r="HY37" s="105"/>
      <c r="HZ37" s="105"/>
      <c r="IA37" s="105"/>
      <c r="IB37" s="105"/>
      <c r="IC37" s="105"/>
      <c r="ID37" s="105"/>
      <c r="IE37" s="105"/>
      <c r="IF37" s="105"/>
    </row>
    <row r="44" spans="1:240" x14ac:dyDescent="0.25">
      <c r="C44" s="191"/>
    </row>
  </sheetData>
  <mergeCells count="1">
    <mergeCell ref="B2:C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FA3BD-2C37-44C6-8C51-9CFFABEE1B7E}">
  <dimension ref="A1:B6"/>
  <sheetViews>
    <sheetView workbookViewId="0"/>
  </sheetViews>
  <sheetFormatPr defaultRowHeight="12.5" x14ac:dyDescent="0.25"/>
  <cols>
    <col min="1" max="1" width="37.36328125" bestFit="1" customWidth="1"/>
    <col min="2" max="2" width="11.81640625" bestFit="1" customWidth="1"/>
  </cols>
  <sheetData>
    <row r="1" spans="1:2" x14ac:dyDescent="0.25">
      <c r="A1" t="s">
        <v>198</v>
      </c>
    </row>
    <row r="2" spans="1:2" ht="14.5" x14ac:dyDescent="0.35">
      <c r="A2" s="110" t="s">
        <v>243</v>
      </c>
      <c r="B2" s="155">
        <f>'Maintenance Costs'!G38</f>
        <v>2596500</v>
      </c>
    </row>
    <row r="3" spans="1:2" ht="14.5" x14ac:dyDescent="0.35">
      <c r="A3" s="116" t="s">
        <v>244</v>
      </c>
      <c r="B3" s="155">
        <f>'User Cost, Time &amp; Crash Savings'!H37</f>
        <v>683463867.04085541</v>
      </c>
    </row>
    <row r="4" spans="1:2" ht="14.5" x14ac:dyDescent="0.35">
      <c r="A4" s="117" t="s">
        <v>201</v>
      </c>
      <c r="B4" s="155">
        <f>'Emissions Savings'!I37</f>
        <v>1266642.9173547747</v>
      </c>
    </row>
    <row r="5" spans="1:2" ht="14.5" x14ac:dyDescent="0.25">
      <c r="A5" s="119" t="s">
        <v>184</v>
      </c>
      <c r="B5" s="155">
        <f>'Residual Value'!C36</f>
        <v>13569500</v>
      </c>
    </row>
    <row r="6" spans="1:2" x14ac:dyDescent="0.25">
      <c r="B6" s="155">
        <f>SUM(B2:B5)</f>
        <v>700896509.95821023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F908B-A49C-44D7-B120-96144E1F41B8}">
  <sheetPr>
    <tabColor rgb="FF00B050"/>
  </sheetPr>
  <dimension ref="A1:IF40"/>
  <sheetViews>
    <sheetView workbookViewId="0"/>
  </sheetViews>
  <sheetFormatPr defaultColWidth="9" defaultRowHeight="15" x14ac:dyDescent="0.25"/>
  <cols>
    <col min="1" max="1" width="5.1796875" style="129" customWidth="1"/>
    <col min="2" max="2" width="13.81640625" style="129" customWidth="1"/>
    <col min="3" max="3" width="15.36328125" style="129" customWidth="1"/>
    <col min="4" max="4" width="12.81640625" style="129" customWidth="1"/>
    <col min="5" max="5" width="9" style="129"/>
    <col min="6" max="6" width="11.36328125" style="129" bestFit="1" customWidth="1"/>
    <col min="7" max="7" width="6.36328125" style="129" bestFit="1" customWidth="1"/>
    <col min="8" max="240" width="9" style="129"/>
    <col min="241" max="16384" width="9" style="105"/>
  </cols>
  <sheetData>
    <row r="1" spans="1:240" ht="15.5" x14ac:dyDescent="0.35">
      <c r="B1" s="130"/>
      <c r="C1" s="131" t="s">
        <v>187</v>
      </c>
      <c r="D1" s="132">
        <f>SUM(C4:C11)</f>
        <v>19385000</v>
      </c>
    </row>
    <row r="2" spans="1:240" ht="15.5" thickBot="1" x14ac:dyDescent="0.3">
      <c r="A2" s="133"/>
      <c r="B2" s="236" t="s">
        <v>185</v>
      </c>
      <c r="C2" s="237"/>
      <c r="D2" s="133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</row>
    <row r="3" spans="1:240" ht="15.5" thickBot="1" x14ac:dyDescent="0.4">
      <c r="A3" s="134" t="s">
        <v>4</v>
      </c>
      <c r="B3" s="135" t="s">
        <v>5</v>
      </c>
      <c r="C3" s="135" t="s">
        <v>188</v>
      </c>
      <c r="D3" s="136" t="s">
        <v>189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</row>
    <row r="4" spans="1:240" x14ac:dyDescent="0.35">
      <c r="A4" s="137">
        <v>0</v>
      </c>
      <c r="B4" s="138">
        <v>2022</v>
      </c>
      <c r="C4" s="144">
        <f>457826.94+288062.93</f>
        <v>745889.87</v>
      </c>
      <c r="D4" s="139">
        <f>C4/(1+0.07)^A4</f>
        <v>745889.87</v>
      </c>
      <c r="E4" s="140" t="s">
        <v>190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</row>
    <row r="5" spans="1:240" x14ac:dyDescent="0.35">
      <c r="A5" s="141">
        <v>1</v>
      </c>
      <c r="B5" s="142">
        <f>B4+1</f>
        <v>2023</v>
      </c>
      <c r="C5" s="144">
        <f>504110.13+4533750</f>
        <v>5037860.13</v>
      </c>
      <c r="D5" s="139">
        <f>C5/(1+0.07)^A5</f>
        <v>4708280.495327102</v>
      </c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</row>
    <row r="6" spans="1:240" x14ac:dyDescent="0.35">
      <c r="A6" s="143">
        <v>2</v>
      </c>
      <c r="B6" s="142">
        <f>B5+1</f>
        <v>2024</v>
      </c>
      <c r="C6" s="144">
        <v>9067500</v>
      </c>
      <c r="D6" s="139">
        <f>C6/(1+0.07)^A6</f>
        <v>7919905.6686173463</v>
      </c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</row>
    <row r="7" spans="1:240" x14ac:dyDescent="0.35">
      <c r="A7" s="143">
        <v>3</v>
      </c>
      <c r="B7" s="142">
        <f t="shared" ref="B7:B39" si="0">B6+1</f>
        <v>2025</v>
      </c>
      <c r="C7" s="144">
        <v>4533750</v>
      </c>
      <c r="D7" s="139">
        <f t="shared" ref="D7:D39" si="1">C7/(1+0.07)^A7</f>
        <v>3700890.4993539001</v>
      </c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</row>
    <row r="8" spans="1:240" x14ac:dyDescent="0.35">
      <c r="A8" s="143">
        <v>4</v>
      </c>
      <c r="B8" s="142">
        <f t="shared" si="0"/>
        <v>2026</v>
      </c>
      <c r="C8" s="144"/>
      <c r="D8" s="139">
        <f t="shared" si="1"/>
        <v>0</v>
      </c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</row>
    <row r="9" spans="1:240" x14ac:dyDescent="0.35">
      <c r="A9" s="143">
        <v>5</v>
      </c>
      <c r="B9" s="142">
        <f t="shared" si="0"/>
        <v>2027</v>
      </c>
      <c r="C9" s="144"/>
      <c r="D9" s="139">
        <f t="shared" si="1"/>
        <v>0</v>
      </c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</row>
    <row r="10" spans="1:240" x14ac:dyDescent="0.35">
      <c r="A10" s="143">
        <v>6</v>
      </c>
      <c r="B10" s="142">
        <f t="shared" si="0"/>
        <v>2028</v>
      </c>
      <c r="C10" s="144"/>
      <c r="D10" s="139">
        <f t="shared" si="1"/>
        <v>0</v>
      </c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</row>
    <row r="11" spans="1:240" x14ac:dyDescent="0.35">
      <c r="A11" s="143">
        <v>7</v>
      </c>
      <c r="B11" s="142">
        <f t="shared" si="0"/>
        <v>2029</v>
      </c>
      <c r="C11" s="144"/>
      <c r="D11" s="139">
        <f t="shared" si="1"/>
        <v>0</v>
      </c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</row>
    <row r="12" spans="1:240" x14ac:dyDescent="0.35">
      <c r="A12" s="143">
        <v>8</v>
      </c>
      <c r="B12" s="142">
        <f t="shared" si="0"/>
        <v>2030</v>
      </c>
      <c r="C12" s="144"/>
      <c r="D12" s="139">
        <f t="shared" si="1"/>
        <v>0</v>
      </c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</row>
    <row r="13" spans="1:240" x14ac:dyDescent="0.35">
      <c r="A13" s="143">
        <v>9</v>
      </c>
      <c r="B13" s="142">
        <f t="shared" si="0"/>
        <v>2031</v>
      </c>
      <c r="C13" s="144"/>
      <c r="D13" s="139">
        <f t="shared" si="1"/>
        <v>0</v>
      </c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</row>
    <row r="14" spans="1:240" x14ac:dyDescent="0.35">
      <c r="A14" s="143">
        <v>10</v>
      </c>
      <c r="B14" s="142">
        <f t="shared" si="0"/>
        <v>2032</v>
      </c>
      <c r="C14" s="144"/>
      <c r="D14" s="139">
        <f t="shared" si="1"/>
        <v>0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</row>
    <row r="15" spans="1:240" x14ac:dyDescent="0.35">
      <c r="A15" s="143">
        <v>11</v>
      </c>
      <c r="B15" s="142">
        <f t="shared" si="0"/>
        <v>2033</v>
      </c>
      <c r="C15" s="144"/>
      <c r="D15" s="139">
        <f t="shared" si="1"/>
        <v>0</v>
      </c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</row>
    <row r="16" spans="1:240" x14ac:dyDescent="0.35">
      <c r="A16" s="143">
        <v>12</v>
      </c>
      <c r="B16" s="142">
        <f t="shared" si="0"/>
        <v>2034</v>
      </c>
      <c r="C16" s="144"/>
      <c r="D16" s="139">
        <f t="shared" si="1"/>
        <v>0</v>
      </c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</row>
    <row r="17" spans="1:4" s="105" customFormat="1" ht="14.5" x14ac:dyDescent="0.35">
      <c r="A17" s="143">
        <v>13</v>
      </c>
      <c r="B17" s="142">
        <f t="shared" si="0"/>
        <v>2035</v>
      </c>
      <c r="C17" s="145"/>
      <c r="D17" s="139">
        <f t="shared" si="1"/>
        <v>0</v>
      </c>
    </row>
    <row r="18" spans="1:4" s="105" customFormat="1" ht="14.5" x14ac:dyDescent="0.35">
      <c r="A18" s="143">
        <v>14</v>
      </c>
      <c r="B18" s="142">
        <f t="shared" si="0"/>
        <v>2036</v>
      </c>
      <c r="C18" s="145"/>
      <c r="D18" s="139">
        <f t="shared" si="1"/>
        <v>0</v>
      </c>
    </row>
    <row r="19" spans="1:4" s="105" customFormat="1" ht="14.5" x14ac:dyDescent="0.35">
      <c r="A19" s="143">
        <v>15</v>
      </c>
      <c r="B19" s="142">
        <f t="shared" si="0"/>
        <v>2037</v>
      </c>
      <c r="C19" s="145"/>
      <c r="D19" s="139">
        <f t="shared" si="1"/>
        <v>0</v>
      </c>
    </row>
    <row r="20" spans="1:4" s="105" customFormat="1" ht="14.5" x14ac:dyDescent="0.35">
      <c r="A20" s="143">
        <v>16</v>
      </c>
      <c r="B20" s="142">
        <f t="shared" si="0"/>
        <v>2038</v>
      </c>
      <c r="C20" s="145"/>
      <c r="D20" s="139">
        <f t="shared" si="1"/>
        <v>0</v>
      </c>
    </row>
    <row r="21" spans="1:4" s="105" customFormat="1" ht="14.5" x14ac:dyDescent="0.35">
      <c r="A21" s="143">
        <v>17</v>
      </c>
      <c r="B21" s="142">
        <f t="shared" si="0"/>
        <v>2039</v>
      </c>
      <c r="C21" s="145"/>
      <c r="D21" s="139">
        <f t="shared" si="1"/>
        <v>0</v>
      </c>
    </row>
    <row r="22" spans="1:4" s="105" customFormat="1" ht="14.5" x14ac:dyDescent="0.35">
      <c r="A22" s="143">
        <v>18</v>
      </c>
      <c r="B22" s="142">
        <f t="shared" si="0"/>
        <v>2040</v>
      </c>
      <c r="C22" s="145"/>
      <c r="D22" s="139">
        <f t="shared" si="1"/>
        <v>0</v>
      </c>
    </row>
    <row r="23" spans="1:4" s="105" customFormat="1" ht="14.5" x14ac:dyDescent="0.35">
      <c r="A23" s="143">
        <v>19</v>
      </c>
      <c r="B23" s="142">
        <f t="shared" si="0"/>
        <v>2041</v>
      </c>
      <c r="C23" s="145"/>
      <c r="D23" s="139">
        <f t="shared" si="1"/>
        <v>0</v>
      </c>
    </row>
    <row r="24" spans="1:4" s="105" customFormat="1" ht="14.5" x14ac:dyDescent="0.35">
      <c r="A24" s="146">
        <v>20</v>
      </c>
      <c r="B24" s="142">
        <f t="shared" si="0"/>
        <v>2042</v>
      </c>
      <c r="C24" s="147"/>
      <c r="D24" s="139">
        <f t="shared" si="1"/>
        <v>0</v>
      </c>
    </row>
    <row r="25" spans="1:4" s="105" customFormat="1" ht="14.5" x14ac:dyDescent="0.35">
      <c r="A25" s="146">
        <v>21</v>
      </c>
      <c r="B25" s="142">
        <f t="shared" si="0"/>
        <v>2043</v>
      </c>
      <c r="C25" s="147"/>
      <c r="D25" s="139">
        <f t="shared" si="1"/>
        <v>0</v>
      </c>
    </row>
    <row r="26" spans="1:4" s="105" customFormat="1" ht="14.5" x14ac:dyDescent="0.35">
      <c r="A26" s="146">
        <v>22</v>
      </c>
      <c r="B26" s="142">
        <f t="shared" si="0"/>
        <v>2044</v>
      </c>
      <c r="C26" s="147"/>
      <c r="D26" s="139">
        <f t="shared" si="1"/>
        <v>0</v>
      </c>
    </row>
    <row r="27" spans="1:4" s="105" customFormat="1" ht="14.5" x14ac:dyDescent="0.35">
      <c r="A27" s="146">
        <v>23</v>
      </c>
      <c r="B27" s="142">
        <f t="shared" si="0"/>
        <v>2045</v>
      </c>
      <c r="C27" s="147"/>
      <c r="D27" s="139">
        <f t="shared" si="1"/>
        <v>0</v>
      </c>
    </row>
    <row r="28" spans="1:4" s="105" customFormat="1" ht="14.5" x14ac:dyDescent="0.35">
      <c r="A28" s="146">
        <v>24</v>
      </c>
      <c r="B28" s="142">
        <f t="shared" si="0"/>
        <v>2046</v>
      </c>
      <c r="C28" s="147"/>
      <c r="D28" s="139">
        <f t="shared" si="1"/>
        <v>0</v>
      </c>
    </row>
    <row r="29" spans="1:4" s="105" customFormat="1" ht="14.5" x14ac:dyDescent="0.35">
      <c r="A29" s="146">
        <v>25</v>
      </c>
      <c r="B29" s="142">
        <f t="shared" si="0"/>
        <v>2047</v>
      </c>
      <c r="C29" s="147"/>
      <c r="D29" s="139">
        <f t="shared" si="1"/>
        <v>0</v>
      </c>
    </row>
    <row r="30" spans="1:4" s="105" customFormat="1" ht="14.5" x14ac:dyDescent="0.35">
      <c r="A30" s="146">
        <v>26</v>
      </c>
      <c r="B30" s="142">
        <f t="shared" si="0"/>
        <v>2048</v>
      </c>
      <c r="C30" s="147"/>
      <c r="D30" s="139">
        <f t="shared" si="1"/>
        <v>0</v>
      </c>
    </row>
    <row r="31" spans="1:4" s="105" customFormat="1" ht="14.5" x14ac:dyDescent="0.35">
      <c r="A31" s="146">
        <v>27</v>
      </c>
      <c r="B31" s="142">
        <f t="shared" si="0"/>
        <v>2049</v>
      </c>
      <c r="C31" s="147"/>
      <c r="D31" s="139">
        <f t="shared" si="1"/>
        <v>0</v>
      </c>
    </row>
    <row r="32" spans="1:4" s="105" customFormat="1" ht="14.5" x14ac:dyDescent="0.35">
      <c r="A32" s="146">
        <v>28</v>
      </c>
      <c r="B32" s="142">
        <f t="shared" si="0"/>
        <v>2050</v>
      </c>
      <c r="C32" s="147"/>
      <c r="D32" s="139">
        <f t="shared" si="1"/>
        <v>0</v>
      </c>
    </row>
    <row r="33" spans="1:240" ht="14.5" x14ac:dyDescent="0.35">
      <c r="A33" s="146">
        <v>29</v>
      </c>
      <c r="B33" s="142">
        <f t="shared" si="0"/>
        <v>2051</v>
      </c>
      <c r="C33" s="147"/>
      <c r="D33" s="139">
        <f t="shared" si="1"/>
        <v>0</v>
      </c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5"/>
      <c r="DN33" s="105"/>
      <c r="DO33" s="105"/>
      <c r="DP33" s="105"/>
      <c r="DQ33" s="105"/>
      <c r="DR33" s="105"/>
      <c r="DS33" s="105"/>
      <c r="DT33" s="105"/>
      <c r="DU33" s="105"/>
      <c r="DV33" s="105"/>
      <c r="DW33" s="105"/>
      <c r="DX33" s="105"/>
      <c r="DY33" s="105"/>
      <c r="DZ33" s="105"/>
      <c r="EA33" s="105"/>
      <c r="EB33" s="105"/>
      <c r="EC33" s="105"/>
      <c r="ED33" s="105"/>
      <c r="EE33" s="105"/>
      <c r="EF33" s="105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05"/>
      <c r="FA33" s="105"/>
      <c r="FB33" s="105"/>
      <c r="FC33" s="105"/>
      <c r="FD33" s="105"/>
      <c r="FE33" s="105"/>
      <c r="FF33" s="105"/>
      <c r="FG33" s="105"/>
      <c r="FH33" s="105"/>
      <c r="FI33" s="105"/>
      <c r="FJ33" s="105"/>
      <c r="FK33" s="105"/>
      <c r="FL33" s="105"/>
      <c r="FM33" s="105"/>
      <c r="FN33" s="105"/>
      <c r="FO33" s="105"/>
      <c r="FP33" s="105"/>
      <c r="FQ33" s="105"/>
      <c r="FR33" s="105"/>
      <c r="FS33" s="105"/>
      <c r="FT33" s="105"/>
      <c r="FU33" s="105"/>
      <c r="FV33" s="105"/>
      <c r="FW33" s="105"/>
      <c r="FX33" s="105"/>
      <c r="FY33" s="105"/>
      <c r="FZ33" s="105"/>
      <c r="GA33" s="105"/>
      <c r="GB33" s="105"/>
      <c r="GC33" s="105"/>
      <c r="GD33" s="105"/>
      <c r="GE33" s="105"/>
      <c r="GF33" s="105"/>
      <c r="GG33" s="105"/>
      <c r="GH33" s="105"/>
      <c r="GI33" s="105"/>
      <c r="GJ33" s="105"/>
      <c r="GK33" s="105"/>
      <c r="GL33" s="105"/>
      <c r="GM33" s="105"/>
      <c r="GN33" s="105"/>
      <c r="GO33" s="105"/>
      <c r="GP33" s="105"/>
      <c r="GQ33" s="105"/>
      <c r="GR33" s="105"/>
      <c r="GS33" s="105"/>
      <c r="GT33" s="105"/>
      <c r="GU33" s="105"/>
      <c r="GV33" s="105"/>
      <c r="GW33" s="105"/>
      <c r="GX33" s="105"/>
      <c r="GY33" s="105"/>
      <c r="GZ33" s="105"/>
      <c r="HA33" s="105"/>
      <c r="HB33" s="105"/>
      <c r="HC33" s="105"/>
      <c r="HD33" s="105"/>
      <c r="HE33" s="105"/>
      <c r="HF33" s="105"/>
      <c r="HG33" s="105"/>
      <c r="HH33" s="105"/>
      <c r="HI33" s="105"/>
      <c r="HJ33" s="105"/>
      <c r="HK33" s="105"/>
      <c r="HL33" s="105"/>
      <c r="HM33" s="105"/>
      <c r="HN33" s="105"/>
      <c r="HO33" s="105"/>
      <c r="HP33" s="105"/>
      <c r="HQ33" s="105"/>
      <c r="HR33" s="105"/>
      <c r="HS33" s="105"/>
      <c r="HT33" s="105"/>
      <c r="HU33" s="105"/>
      <c r="HV33" s="105"/>
      <c r="HW33" s="105"/>
      <c r="HX33" s="105"/>
      <c r="HY33" s="105"/>
      <c r="HZ33" s="105"/>
      <c r="IA33" s="105"/>
      <c r="IB33" s="105"/>
      <c r="IC33" s="105"/>
      <c r="ID33" s="105"/>
      <c r="IE33" s="105"/>
      <c r="IF33" s="105"/>
    </row>
    <row r="34" spans="1:240" ht="14.5" x14ac:dyDescent="0.35">
      <c r="A34" s="146">
        <v>30</v>
      </c>
      <c r="B34" s="142">
        <f t="shared" si="0"/>
        <v>2052</v>
      </c>
      <c r="C34" s="147"/>
      <c r="D34" s="139">
        <f t="shared" si="1"/>
        <v>0</v>
      </c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05"/>
      <c r="FA34" s="105"/>
      <c r="FB34" s="105"/>
      <c r="FC34" s="105"/>
      <c r="FD34" s="105"/>
      <c r="FE34" s="105"/>
      <c r="FF34" s="105"/>
      <c r="FG34" s="105"/>
      <c r="FH34" s="105"/>
      <c r="FI34" s="105"/>
      <c r="FJ34" s="105"/>
      <c r="FK34" s="105"/>
      <c r="FL34" s="105"/>
      <c r="FM34" s="105"/>
      <c r="FN34" s="105"/>
      <c r="FO34" s="105"/>
      <c r="FP34" s="105"/>
      <c r="FQ34" s="105"/>
      <c r="FR34" s="105"/>
      <c r="FS34" s="105"/>
      <c r="FT34" s="105"/>
      <c r="FU34" s="105"/>
      <c r="FV34" s="105"/>
      <c r="FW34" s="105"/>
      <c r="FX34" s="105"/>
      <c r="FY34" s="105"/>
      <c r="FZ34" s="105"/>
      <c r="GA34" s="105"/>
      <c r="GB34" s="105"/>
      <c r="GC34" s="105"/>
      <c r="GD34" s="105"/>
      <c r="GE34" s="105"/>
      <c r="GF34" s="105"/>
      <c r="GG34" s="105"/>
      <c r="GH34" s="105"/>
      <c r="GI34" s="105"/>
      <c r="GJ34" s="105"/>
      <c r="GK34" s="105"/>
      <c r="GL34" s="105"/>
      <c r="GM34" s="105"/>
      <c r="GN34" s="105"/>
      <c r="GO34" s="105"/>
      <c r="GP34" s="105"/>
      <c r="GQ34" s="105"/>
      <c r="GR34" s="105"/>
      <c r="GS34" s="105"/>
      <c r="GT34" s="105"/>
      <c r="GU34" s="105"/>
      <c r="GV34" s="105"/>
      <c r="GW34" s="105"/>
      <c r="GX34" s="105"/>
      <c r="GY34" s="105"/>
      <c r="GZ34" s="105"/>
      <c r="HA34" s="105"/>
      <c r="HB34" s="105"/>
      <c r="HC34" s="105"/>
      <c r="HD34" s="105"/>
      <c r="HE34" s="105"/>
      <c r="HF34" s="105"/>
      <c r="HG34" s="105"/>
      <c r="HH34" s="105"/>
      <c r="HI34" s="105"/>
      <c r="HJ34" s="105"/>
      <c r="HK34" s="105"/>
      <c r="HL34" s="105"/>
      <c r="HM34" s="105"/>
      <c r="HN34" s="105"/>
      <c r="HO34" s="105"/>
      <c r="HP34" s="105"/>
      <c r="HQ34" s="105"/>
      <c r="HR34" s="105"/>
      <c r="HS34" s="105"/>
      <c r="HT34" s="105"/>
      <c r="HU34" s="105"/>
      <c r="HV34" s="105"/>
      <c r="HW34" s="105"/>
      <c r="HX34" s="105"/>
      <c r="HY34" s="105"/>
      <c r="HZ34" s="105"/>
      <c r="IA34" s="105"/>
      <c r="IB34" s="105"/>
      <c r="IC34" s="105"/>
      <c r="ID34" s="105"/>
      <c r="IE34" s="105"/>
      <c r="IF34" s="105"/>
    </row>
    <row r="35" spans="1:240" ht="14.5" x14ac:dyDescent="0.35">
      <c r="A35" s="146">
        <v>31</v>
      </c>
      <c r="B35" s="142">
        <f t="shared" si="0"/>
        <v>2053</v>
      </c>
      <c r="C35" s="147"/>
      <c r="D35" s="139">
        <f t="shared" si="1"/>
        <v>0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105"/>
      <c r="DQ35" s="105"/>
      <c r="DR35" s="105"/>
      <c r="DS35" s="105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5"/>
      <c r="ET35" s="105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105"/>
      <c r="FG35" s="105"/>
      <c r="FH35" s="105"/>
      <c r="FI35" s="105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105"/>
      <c r="FU35" s="105"/>
      <c r="FV35" s="105"/>
      <c r="FW35" s="105"/>
      <c r="FX35" s="105"/>
      <c r="FY35" s="105"/>
      <c r="FZ35" s="105"/>
      <c r="GA35" s="105"/>
      <c r="GB35" s="105"/>
      <c r="GC35" s="105"/>
      <c r="GD35" s="105"/>
      <c r="GE35" s="105"/>
      <c r="GF35" s="105"/>
      <c r="GG35" s="105"/>
      <c r="GH35" s="105"/>
      <c r="GI35" s="105"/>
      <c r="GJ35" s="105"/>
      <c r="GK35" s="105"/>
      <c r="GL35" s="105"/>
      <c r="GM35" s="105"/>
      <c r="GN35" s="105"/>
      <c r="GO35" s="105"/>
      <c r="GP35" s="105"/>
      <c r="GQ35" s="105"/>
      <c r="GR35" s="105"/>
      <c r="GS35" s="105"/>
      <c r="GT35" s="105"/>
      <c r="GU35" s="105"/>
      <c r="GV35" s="105"/>
      <c r="GW35" s="105"/>
      <c r="GX35" s="105"/>
      <c r="GY35" s="105"/>
      <c r="GZ35" s="105"/>
      <c r="HA35" s="105"/>
      <c r="HB35" s="105"/>
      <c r="HC35" s="105"/>
      <c r="HD35" s="105"/>
      <c r="HE35" s="105"/>
      <c r="HF35" s="105"/>
      <c r="HG35" s="105"/>
      <c r="HH35" s="105"/>
      <c r="HI35" s="105"/>
      <c r="HJ35" s="105"/>
      <c r="HK35" s="105"/>
      <c r="HL35" s="105"/>
      <c r="HM35" s="105"/>
      <c r="HN35" s="105"/>
      <c r="HO35" s="105"/>
      <c r="HP35" s="105"/>
      <c r="HQ35" s="105"/>
      <c r="HR35" s="105"/>
      <c r="HS35" s="105"/>
      <c r="HT35" s="105"/>
      <c r="HU35" s="105"/>
      <c r="HV35" s="105"/>
      <c r="HW35" s="105"/>
      <c r="HX35" s="105"/>
      <c r="HY35" s="105"/>
      <c r="HZ35" s="105"/>
      <c r="IA35" s="105"/>
      <c r="IB35" s="105"/>
      <c r="IC35" s="105"/>
      <c r="ID35" s="105"/>
      <c r="IE35" s="105"/>
      <c r="IF35" s="105"/>
    </row>
    <row r="36" spans="1:240" ht="14.5" x14ac:dyDescent="0.35">
      <c r="A36" s="146">
        <v>32</v>
      </c>
      <c r="B36" s="142">
        <f t="shared" si="0"/>
        <v>2054</v>
      </c>
      <c r="C36" s="147"/>
      <c r="D36" s="139">
        <f t="shared" si="1"/>
        <v>0</v>
      </c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105"/>
      <c r="DQ36" s="105"/>
      <c r="DR36" s="105"/>
      <c r="DS36" s="105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105"/>
      <c r="FA36" s="105"/>
      <c r="FB36" s="105"/>
      <c r="FC36" s="105"/>
      <c r="FD36" s="105"/>
      <c r="FE36" s="105"/>
      <c r="FF36" s="105"/>
      <c r="FG36" s="105"/>
      <c r="FH36" s="105"/>
      <c r="FI36" s="105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105"/>
      <c r="FU36" s="105"/>
      <c r="FV36" s="105"/>
      <c r="FW36" s="105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105"/>
      <c r="GI36" s="105"/>
      <c r="GJ36" s="105"/>
      <c r="GK36" s="105"/>
      <c r="GL36" s="105"/>
      <c r="GM36" s="105"/>
      <c r="GN36" s="105"/>
      <c r="GO36" s="105"/>
      <c r="GP36" s="105"/>
      <c r="GQ36" s="105"/>
      <c r="GR36" s="105"/>
      <c r="GS36" s="105"/>
      <c r="GT36" s="105"/>
      <c r="GU36" s="105"/>
      <c r="GV36" s="105"/>
      <c r="GW36" s="105"/>
      <c r="GX36" s="105"/>
      <c r="GY36" s="105"/>
      <c r="GZ36" s="105"/>
      <c r="HA36" s="105"/>
      <c r="HB36" s="105"/>
      <c r="HC36" s="105"/>
      <c r="HD36" s="105"/>
      <c r="HE36" s="105"/>
      <c r="HF36" s="105"/>
      <c r="HG36" s="105"/>
      <c r="HH36" s="105"/>
      <c r="HI36" s="105"/>
      <c r="HJ36" s="105"/>
      <c r="HK36" s="105"/>
      <c r="HL36" s="105"/>
      <c r="HM36" s="105"/>
      <c r="HN36" s="105"/>
      <c r="HO36" s="105"/>
      <c r="HP36" s="105"/>
      <c r="HQ36" s="105"/>
      <c r="HR36" s="105"/>
      <c r="HS36" s="105"/>
      <c r="HT36" s="105"/>
      <c r="HU36" s="105"/>
      <c r="HV36" s="105"/>
      <c r="HW36" s="105"/>
      <c r="HX36" s="105"/>
      <c r="HY36" s="105"/>
      <c r="HZ36" s="105"/>
      <c r="IA36" s="105"/>
      <c r="IB36" s="105"/>
      <c r="IC36" s="105"/>
      <c r="ID36" s="105"/>
      <c r="IE36" s="105"/>
      <c r="IF36" s="105"/>
    </row>
    <row r="37" spans="1:240" ht="14.5" x14ac:dyDescent="0.35">
      <c r="A37" s="146">
        <v>33</v>
      </c>
      <c r="B37" s="142">
        <f t="shared" si="0"/>
        <v>2055</v>
      </c>
      <c r="C37" s="147"/>
      <c r="D37" s="139">
        <f t="shared" si="1"/>
        <v>0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105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105"/>
      <c r="DC37" s="105"/>
      <c r="DD37" s="105"/>
      <c r="DE37" s="105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105"/>
      <c r="DQ37" s="105"/>
      <c r="DR37" s="105"/>
      <c r="DS37" s="105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105"/>
      <c r="EE37" s="105"/>
      <c r="EF37" s="105"/>
      <c r="EG37" s="105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105"/>
      <c r="ES37" s="105"/>
      <c r="ET37" s="105"/>
      <c r="EU37" s="105"/>
      <c r="EV37" s="105"/>
      <c r="EW37" s="105"/>
      <c r="EX37" s="105"/>
      <c r="EY37" s="105"/>
      <c r="EZ37" s="105"/>
      <c r="FA37" s="105"/>
      <c r="FB37" s="105"/>
      <c r="FC37" s="105"/>
      <c r="FD37" s="105"/>
      <c r="FE37" s="105"/>
      <c r="FF37" s="105"/>
      <c r="FG37" s="105"/>
      <c r="FH37" s="105"/>
      <c r="FI37" s="105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105"/>
      <c r="FU37" s="105"/>
      <c r="FV37" s="105"/>
      <c r="FW37" s="105"/>
      <c r="FX37" s="105"/>
      <c r="FY37" s="105"/>
      <c r="FZ37" s="105"/>
      <c r="GA37" s="105"/>
      <c r="GB37" s="105"/>
      <c r="GC37" s="105"/>
      <c r="GD37" s="105"/>
      <c r="GE37" s="105"/>
      <c r="GF37" s="105"/>
      <c r="GG37" s="105"/>
      <c r="GH37" s="105"/>
      <c r="GI37" s="105"/>
      <c r="GJ37" s="105"/>
      <c r="GK37" s="105"/>
      <c r="GL37" s="105"/>
      <c r="GM37" s="105"/>
      <c r="GN37" s="105"/>
      <c r="GO37" s="105"/>
      <c r="GP37" s="105"/>
      <c r="GQ37" s="105"/>
      <c r="GR37" s="105"/>
      <c r="GS37" s="105"/>
      <c r="GT37" s="105"/>
      <c r="GU37" s="105"/>
      <c r="GV37" s="105"/>
      <c r="GW37" s="105"/>
      <c r="GX37" s="105"/>
      <c r="GY37" s="105"/>
      <c r="GZ37" s="105"/>
      <c r="HA37" s="105"/>
      <c r="HB37" s="105"/>
      <c r="HC37" s="105"/>
      <c r="HD37" s="105"/>
      <c r="HE37" s="105"/>
      <c r="HF37" s="105"/>
      <c r="HG37" s="105"/>
      <c r="HH37" s="105"/>
      <c r="HI37" s="105"/>
      <c r="HJ37" s="105"/>
      <c r="HK37" s="105"/>
      <c r="HL37" s="105"/>
      <c r="HM37" s="105"/>
      <c r="HN37" s="105"/>
      <c r="HO37" s="105"/>
      <c r="HP37" s="105"/>
      <c r="HQ37" s="105"/>
      <c r="HR37" s="105"/>
      <c r="HS37" s="105"/>
      <c r="HT37" s="105"/>
      <c r="HU37" s="105"/>
      <c r="HV37" s="105"/>
      <c r="HW37" s="105"/>
      <c r="HX37" s="105"/>
      <c r="HY37" s="105"/>
      <c r="HZ37" s="105"/>
      <c r="IA37" s="105"/>
      <c r="IB37" s="105"/>
      <c r="IC37" s="105"/>
      <c r="ID37" s="105"/>
      <c r="IE37" s="105"/>
      <c r="IF37" s="105"/>
    </row>
    <row r="38" spans="1:240" ht="14.5" x14ac:dyDescent="0.35">
      <c r="A38" s="146">
        <v>34</v>
      </c>
      <c r="B38" s="142">
        <f t="shared" si="0"/>
        <v>2056</v>
      </c>
      <c r="C38" s="147"/>
      <c r="D38" s="139">
        <f t="shared" si="1"/>
        <v>0</v>
      </c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105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105"/>
      <c r="CO38" s="105"/>
      <c r="CP38" s="105"/>
      <c r="CQ38" s="105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105"/>
      <c r="DC38" s="105"/>
      <c r="DD38" s="105"/>
      <c r="DE38" s="105"/>
      <c r="DF38" s="105"/>
      <c r="DG38" s="105"/>
      <c r="DH38" s="105"/>
      <c r="DI38" s="105"/>
      <c r="DJ38" s="105"/>
      <c r="DK38" s="105"/>
      <c r="DL38" s="105"/>
      <c r="DM38" s="105"/>
      <c r="DN38" s="105"/>
      <c r="DO38" s="105"/>
      <c r="DP38" s="105"/>
      <c r="DQ38" s="105"/>
      <c r="DR38" s="105"/>
      <c r="DS38" s="105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105"/>
      <c r="EE38" s="105"/>
      <c r="EF38" s="105"/>
      <c r="EG38" s="105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105"/>
      <c r="ES38" s="105"/>
      <c r="ET38" s="105"/>
      <c r="EU38" s="105"/>
      <c r="EV38" s="105"/>
      <c r="EW38" s="105"/>
      <c r="EX38" s="105"/>
      <c r="EY38" s="105"/>
      <c r="EZ38" s="105"/>
      <c r="FA38" s="105"/>
      <c r="FB38" s="105"/>
      <c r="FC38" s="105"/>
      <c r="FD38" s="105"/>
      <c r="FE38" s="105"/>
      <c r="FF38" s="105"/>
      <c r="FG38" s="105"/>
      <c r="FH38" s="105"/>
      <c r="FI38" s="105"/>
      <c r="FJ38" s="105"/>
      <c r="FK38" s="105"/>
      <c r="FL38" s="105"/>
      <c r="FM38" s="105"/>
      <c r="FN38" s="105"/>
      <c r="FO38" s="105"/>
      <c r="FP38" s="105"/>
      <c r="FQ38" s="105"/>
      <c r="FR38" s="105"/>
      <c r="FS38" s="105"/>
      <c r="FT38" s="105"/>
      <c r="FU38" s="105"/>
      <c r="FV38" s="105"/>
      <c r="FW38" s="105"/>
      <c r="FX38" s="105"/>
      <c r="FY38" s="105"/>
      <c r="FZ38" s="105"/>
      <c r="GA38" s="105"/>
      <c r="GB38" s="105"/>
      <c r="GC38" s="105"/>
      <c r="GD38" s="105"/>
      <c r="GE38" s="105"/>
      <c r="GF38" s="105"/>
      <c r="GG38" s="105"/>
      <c r="GH38" s="105"/>
      <c r="GI38" s="105"/>
      <c r="GJ38" s="105"/>
      <c r="GK38" s="105"/>
      <c r="GL38" s="105"/>
      <c r="GM38" s="105"/>
      <c r="GN38" s="105"/>
      <c r="GO38" s="105"/>
      <c r="GP38" s="105"/>
      <c r="GQ38" s="105"/>
      <c r="GR38" s="105"/>
      <c r="GS38" s="105"/>
      <c r="GT38" s="105"/>
      <c r="GU38" s="105"/>
      <c r="GV38" s="105"/>
      <c r="GW38" s="105"/>
      <c r="GX38" s="105"/>
      <c r="GY38" s="105"/>
      <c r="GZ38" s="105"/>
      <c r="HA38" s="105"/>
      <c r="HB38" s="105"/>
      <c r="HC38" s="105"/>
      <c r="HD38" s="105"/>
      <c r="HE38" s="105"/>
      <c r="HF38" s="105"/>
      <c r="HG38" s="105"/>
      <c r="HH38" s="105"/>
      <c r="HI38" s="105"/>
      <c r="HJ38" s="105"/>
      <c r="HK38" s="105"/>
      <c r="HL38" s="105"/>
      <c r="HM38" s="105"/>
      <c r="HN38" s="105"/>
      <c r="HO38" s="105"/>
      <c r="HP38" s="105"/>
      <c r="HQ38" s="105"/>
      <c r="HR38" s="105"/>
      <c r="HS38" s="105"/>
      <c r="HT38" s="105"/>
      <c r="HU38" s="105"/>
      <c r="HV38" s="105"/>
      <c r="HW38" s="105"/>
      <c r="HX38" s="105"/>
      <c r="HY38" s="105"/>
      <c r="HZ38" s="105"/>
      <c r="IA38" s="105"/>
      <c r="IB38" s="105"/>
      <c r="IC38" s="105"/>
      <c r="ID38" s="105"/>
      <c r="IE38" s="105"/>
      <c r="IF38" s="105"/>
    </row>
    <row r="39" spans="1:240" thickBot="1" x14ac:dyDescent="0.4">
      <c r="A39" s="148">
        <v>35</v>
      </c>
      <c r="B39" s="149">
        <f t="shared" si="0"/>
        <v>2057</v>
      </c>
      <c r="C39" s="150"/>
      <c r="D39" s="151">
        <f t="shared" si="1"/>
        <v>0</v>
      </c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5"/>
      <c r="BZ39" s="105"/>
      <c r="CA39" s="105"/>
      <c r="CB39" s="105"/>
      <c r="CC39" s="105"/>
      <c r="CD39" s="105"/>
      <c r="CE39" s="105"/>
      <c r="CF39" s="105"/>
      <c r="CG39" s="105"/>
      <c r="CH39" s="105"/>
      <c r="CI39" s="105"/>
      <c r="CJ39" s="105"/>
      <c r="CK39" s="105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V39" s="105"/>
      <c r="CW39" s="105"/>
      <c r="CX39" s="105"/>
      <c r="CY39" s="105"/>
      <c r="CZ39" s="105"/>
      <c r="DA39" s="105"/>
      <c r="DB39" s="105"/>
      <c r="DC39" s="105"/>
      <c r="DD39" s="105"/>
      <c r="DE39" s="105"/>
      <c r="DF39" s="105"/>
      <c r="DG39" s="105"/>
      <c r="DH39" s="105"/>
      <c r="DI39" s="105"/>
      <c r="DJ39" s="105"/>
      <c r="DK39" s="105"/>
      <c r="DL39" s="105"/>
      <c r="DM39" s="105"/>
      <c r="DN39" s="105"/>
      <c r="DO39" s="105"/>
      <c r="DP39" s="105"/>
      <c r="DQ39" s="105"/>
      <c r="DR39" s="105"/>
      <c r="DS39" s="105"/>
      <c r="DT39" s="105"/>
      <c r="DU39" s="105"/>
      <c r="DV39" s="105"/>
      <c r="DW39" s="105"/>
      <c r="DX39" s="105"/>
      <c r="DY39" s="105"/>
      <c r="DZ39" s="105"/>
      <c r="EA39" s="105"/>
      <c r="EB39" s="105"/>
      <c r="EC39" s="105"/>
      <c r="ED39" s="105"/>
      <c r="EE39" s="105"/>
      <c r="EF39" s="105"/>
      <c r="EG39" s="105"/>
      <c r="EH39" s="105"/>
      <c r="EI39" s="105"/>
      <c r="EJ39" s="105"/>
      <c r="EK39" s="105"/>
      <c r="EL39" s="105"/>
      <c r="EM39" s="105"/>
      <c r="EN39" s="105"/>
      <c r="EO39" s="105"/>
      <c r="EP39" s="105"/>
      <c r="EQ39" s="105"/>
      <c r="ER39" s="105"/>
      <c r="ES39" s="105"/>
      <c r="ET39" s="105"/>
      <c r="EU39" s="105"/>
      <c r="EV39" s="105"/>
      <c r="EW39" s="105"/>
      <c r="EX39" s="105"/>
      <c r="EY39" s="105"/>
      <c r="EZ39" s="105"/>
      <c r="FA39" s="105"/>
      <c r="FB39" s="105"/>
      <c r="FC39" s="105"/>
      <c r="FD39" s="105"/>
      <c r="FE39" s="105"/>
      <c r="FF39" s="105"/>
      <c r="FG39" s="105"/>
      <c r="FH39" s="105"/>
      <c r="FI39" s="105"/>
      <c r="FJ39" s="105"/>
      <c r="FK39" s="105"/>
      <c r="FL39" s="105"/>
      <c r="FM39" s="105"/>
      <c r="FN39" s="105"/>
      <c r="FO39" s="105"/>
      <c r="FP39" s="105"/>
      <c r="FQ39" s="105"/>
      <c r="FR39" s="105"/>
      <c r="FS39" s="105"/>
      <c r="FT39" s="105"/>
      <c r="FU39" s="105"/>
      <c r="FV39" s="105"/>
      <c r="FW39" s="105"/>
      <c r="FX39" s="105"/>
      <c r="FY39" s="105"/>
      <c r="FZ39" s="105"/>
      <c r="GA39" s="105"/>
      <c r="GB39" s="105"/>
      <c r="GC39" s="105"/>
      <c r="GD39" s="105"/>
      <c r="GE39" s="105"/>
      <c r="GF39" s="105"/>
      <c r="GG39" s="105"/>
      <c r="GH39" s="105"/>
      <c r="GI39" s="105"/>
      <c r="GJ39" s="105"/>
      <c r="GK39" s="105"/>
      <c r="GL39" s="105"/>
      <c r="GM39" s="105"/>
      <c r="GN39" s="105"/>
      <c r="GO39" s="105"/>
      <c r="GP39" s="105"/>
      <c r="GQ39" s="105"/>
      <c r="GR39" s="105"/>
      <c r="GS39" s="105"/>
      <c r="GT39" s="105"/>
      <c r="GU39" s="105"/>
      <c r="GV39" s="105"/>
      <c r="GW39" s="105"/>
      <c r="GX39" s="105"/>
      <c r="GY39" s="105"/>
      <c r="GZ39" s="105"/>
      <c r="HA39" s="105"/>
      <c r="HB39" s="105"/>
      <c r="HC39" s="105"/>
      <c r="HD39" s="105"/>
      <c r="HE39" s="105"/>
      <c r="HF39" s="105"/>
      <c r="HG39" s="105"/>
      <c r="HH39" s="105"/>
      <c r="HI39" s="105"/>
      <c r="HJ39" s="105"/>
      <c r="HK39" s="105"/>
      <c r="HL39" s="105"/>
      <c r="HM39" s="105"/>
      <c r="HN39" s="105"/>
      <c r="HO39" s="105"/>
      <c r="HP39" s="105"/>
      <c r="HQ39" s="105"/>
      <c r="HR39" s="105"/>
      <c r="HS39" s="105"/>
      <c r="HT39" s="105"/>
      <c r="HU39" s="105"/>
      <c r="HV39" s="105"/>
      <c r="HW39" s="105"/>
      <c r="HX39" s="105"/>
      <c r="HY39" s="105"/>
      <c r="HZ39" s="105"/>
      <c r="IA39" s="105"/>
      <c r="IB39" s="105"/>
      <c r="IC39" s="105"/>
      <c r="ID39" s="105"/>
      <c r="IE39" s="105"/>
      <c r="IF39" s="105"/>
    </row>
    <row r="40" spans="1:240" ht="15.5" thickBot="1" x14ac:dyDescent="0.4">
      <c r="A40" s="152"/>
      <c r="B40" s="152"/>
      <c r="D40" s="153">
        <f>SUM(D4:D39)</f>
        <v>17074966.533298347</v>
      </c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105"/>
      <c r="CW40" s="105"/>
      <c r="CX40" s="105"/>
      <c r="CY40" s="105"/>
      <c r="CZ40" s="105"/>
      <c r="DA40" s="105"/>
      <c r="DB40" s="105"/>
      <c r="DC40" s="105"/>
      <c r="DD40" s="105"/>
      <c r="DE40" s="105"/>
      <c r="DF40" s="105"/>
      <c r="DG40" s="105"/>
      <c r="DH40" s="105"/>
      <c r="DI40" s="105"/>
      <c r="DJ40" s="105"/>
      <c r="DK40" s="105"/>
      <c r="DL40" s="105"/>
      <c r="DM40" s="105"/>
      <c r="DN40" s="105"/>
      <c r="DO40" s="105"/>
      <c r="DP40" s="105"/>
      <c r="DQ40" s="105"/>
      <c r="DR40" s="105"/>
      <c r="DS40" s="105"/>
      <c r="DT40" s="105"/>
      <c r="DU40" s="105"/>
      <c r="DV40" s="105"/>
      <c r="DW40" s="105"/>
      <c r="DX40" s="105"/>
      <c r="DY40" s="105"/>
      <c r="DZ40" s="105"/>
      <c r="EA40" s="105"/>
      <c r="EB40" s="105"/>
      <c r="EC40" s="105"/>
      <c r="ED40" s="105"/>
      <c r="EE40" s="105"/>
      <c r="EF40" s="105"/>
      <c r="EG40" s="105"/>
      <c r="EH40" s="105"/>
      <c r="EI40" s="105"/>
      <c r="EJ40" s="105"/>
      <c r="EK40" s="105"/>
      <c r="EL40" s="105"/>
      <c r="EM40" s="105"/>
      <c r="EN40" s="105"/>
      <c r="EO40" s="105"/>
      <c r="EP40" s="105"/>
      <c r="EQ40" s="105"/>
      <c r="ER40" s="105"/>
      <c r="ES40" s="105"/>
      <c r="ET40" s="105"/>
      <c r="EU40" s="105"/>
      <c r="EV40" s="105"/>
      <c r="EW40" s="105"/>
      <c r="EX40" s="105"/>
      <c r="EY40" s="105"/>
      <c r="EZ40" s="105"/>
      <c r="FA40" s="105"/>
      <c r="FB40" s="105"/>
      <c r="FC40" s="105"/>
      <c r="FD40" s="105"/>
      <c r="FE40" s="105"/>
      <c r="FF40" s="105"/>
      <c r="FG40" s="105"/>
      <c r="FH40" s="105"/>
      <c r="FI40" s="105"/>
      <c r="FJ40" s="105"/>
      <c r="FK40" s="105"/>
      <c r="FL40" s="105"/>
      <c r="FM40" s="105"/>
      <c r="FN40" s="105"/>
      <c r="FO40" s="105"/>
      <c r="FP40" s="105"/>
      <c r="FQ40" s="105"/>
      <c r="FR40" s="105"/>
      <c r="FS40" s="105"/>
      <c r="FT40" s="105"/>
      <c r="FU40" s="105"/>
      <c r="FV40" s="105"/>
      <c r="FW40" s="105"/>
      <c r="FX40" s="105"/>
      <c r="FY40" s="105"/>
      <c r="FZ40" s="105"/>
      <c r="GA40" s="105"/>
      <c r="GB40" s="105"/>
      <c r="GC40" s="105"/>
      <c r="GD40" s="105"/>
      <c r="GE40" s="105"/>
      <c r="GF40" s="105"/>
      <c r="GG40" s="105"/>
      <c r="GH40" s="105"/>
      <c r="GI40" s="105"/>
      <c r="GJ40" s="105"/>
      <c r="GK40" s="105"/>
      <c r="GL40" s="105"/>
      <c r="GM40" s="105"/>
      <c r="GN40" s="105"/>
      <c r="GO40" s="105"/>
      <c r="GP40" s="105"/>
      <c r="GQ40" s="105"/>
      <c r="GR40" s="105"/>
      <c r="GS40" s="105"/>
      <c r="GT40" s="105"/>
      <c r="GU40" s="105"/>
      <c r="GV40" s="105"/>
      <c r="GW40" s="105"/>
      <c r="GX40" s="105"/>
      <c r="GY40" s="105"/>
      <c r="GZ40" s="105"/>
      <c r="HA40" s="105"/>
      <c r="HB40" s="105"/>
      <c r="HC40" s="105"/>
      <c r="HD40" s="105"/>
      <c r="HE40" s="105"/>
      <c r="HF40" s="105"/>
      <c r="HG40" s="105"/>
      <c r="HH40" s="105"/>
      <c r="HI40" s="105"/>
      <c r="HJ40" s="105"/>
      <c r="HK40" s="105"/>
      <c r="HL40" s="105"/>
      <c r="HM40" s="105"/>
      <c r="HN40" s="105"/>
      <c r="HO40" s="105"/>
      <c r="HP40" s="105"/>
      <c r="HQ40" s="105"/>
      <c r="HR40" s="105"/>
      <c r="HS40" s="105"/>
      <c r="HT40" s="105"/>
      <c r="HU40" s="105"/>
      <c r="HV40" s="105"/>
      <c r="HW40" s="105"/>
      <c r="HX40" s="105"/>
      <c r="HY40" s="105"/>
      <c r="HZ40" s="105"/>
      <c r="IA40" s="105"/>
      <c r="IB40" s="105"/>
      <c r="IC40" s="105"/>
      <c r="ID40" s="105"/>
      <c r="IE40" s="105"/>
      <c r="IF40" s="105"/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8860-A658-4DAC-9312-92A16EE74247}">
  <sheetPr>
    <tabColor rgb="FF00B050"/>
  </sheetPr>
  <dimension ref="A1:H44"/>
  <sheetViews>
    <sheetView workbookViewId="0"/>
  </sheetViews>
  <sheetFormatPr defaultColWidth="8.6328125" defaultRowHeight="15" x14ac:dyDescent="0.25"/>
  <cols>
    <col min="1" max="1" width="5.1796875" style="194" customWidth="1"/>
    <col min="2" max="2" width="13.81640625" style="194" customWidth="1"/>
    <col min="3" max="3" width="16.81640625" style="194" bestFit="1" customWidth="1"/>
    <col min="4" max="4" width="71.90625" style="194" bestFit="1" customWidth="1"/>
    <col min="5" max="5" width="16.81640625" style="194" bestFit="1" customWidth="1"/>
    <col min="6" max="6" width="58.08984375" style="194" bestFit="1" customWidth="1"/>
    <col min="7" max="7" width="15.1796875" style="194" bestFit="1" customWidth="1"/>
    <col min="8" max="8" width="13.36328125" style="194" bestFit="1" customWidth="1"/>
    <col min="9" max="16384" width="8.6328125" style="196"/>
  </cols>
  <sheetData>
    <row r="1" spans="1:8" ht="18.5" x14ac:dyDescent="0.25">
      <c r="A1" s="193" t="s">
        <v>245</v>
      </c>
      <c r="H1" s="195">
        <v>44650</v>
      </c>
    </row>
    <row r="2" spans="1:8" ht="15.5" thickBot="1" x14ac:dyDescent="0.3">
      <c r="A2" s="197" t="s">
        <v>191</v>
      </c>
    </row>
    <row r="3" spans="1:8" thickBot="1" x14ac:dyDescent="0.4">
      <c r="A3" s="198" t="s">
        <v>39</v>
      </c>
      <c r="B3" s="199" t="s">
        <v>40</v>
      </c>
      <c r="C3" s="200" t="s">
        <v>41</v>
      </c>
      <c r="D3" s="200"/>
      <c r="E3" s="200" t="s">
        <v>192</v>
      </c>
      <c r="F3" s="200"/>
      <c r="G3" s="200" t="s">
        <v>193</v>
      </c>
      <c r="H3" s="199" t="s">
        <v>194</v>
      </c>
    </row>
    <row r="4" spans="1:8" ht="58.5" thickBot="1" x14ac:dyDescent="0.4">
      <c r="A4" s="208" t="s">
        <v>4</v>
      </c>
      <c r="B4" s="209" t="s">
        <v>5</v>
      </c>
      <c r="C4" s="201" t="s">
        <v>195</v>
      </c>
      <c r="D4" s="201" t="s">
        <v>232</v>
      </c>
      <c r="E4" s="201" t="s">
        <v>233</v>
      </c>
      <c r="F4" s="201"/>
      <c r="G4" s="201" t="s">
        <v>196</v>
      </c>
      <c r="H4" s="209" t="s">
        <v>189</v>
      </c>
    </row>
    <row r="5" spans="1:8" ht="14.5" x14ac:dyDescent="0.35">
      <c r="A5" s="213">
        <v>0</v>
      </c>
      <c r="B5" s="214" t="s">
        <v>197</v>
      </c>
      <c r="C5" s="215">
        <v>7500</v>
      </c>
      <c r="D5" s="216" t="s">
        <v>225</v>
      </c>
      <c r="E5" s="215">
        <v>7500</v>
      </c>
      <c r="F5" s="216" t="s">
        <v>225</v>
      </c>
      <c r="G5" s="217">
        <f t="shared" ref="G5:G37" si="0">C5-E5</f>
        <v>0</v>
      </c>
      <c r="H5" s="218">
        <f t="shared" ref="H5:H37" si="1">G5/(1+0.07)^A5</f>
        <v>0</v>
      </c>
    </row>
    <row r="6" spans="1:8" ht="14.5" x14ac:dyDescent="0.35">
      <c r="A6" s="219">
        <v>1</v>
      </c>
      <c r="B6" s="202">
        <v>2023</v>
      </c>
      <c r="C6" s="204">
        <v>7500</v>
      </c>
      <c r="D6" s="205" t="s">
        <v>234</v>
      </c>
      <c r="E6" s="204">
        <v>5000</v>
      </c>
      <c r="F6" s="205" t="s">
        <v>226</v>
      </c>
      <c r="G6" s="203">
        <f t="shared" si="0"/>
        <v>2500</v>
      </c>
      <c r="H6" s="220">
        <f>G6/(1+0.07)^A6</f>
        <v>2336.4485981308408</v>
      </c>
    </row>
    <row r="7" spans="1:8" ht="14.5" x14ac:dyDescent="0.35">
      <c r="A7" s="219">
        <v>2</v>
      </c>
      <c r="B7" s="202">
        <f t="shared" ref="B7:B37" si="2">B6+1</f>
        <v>2024</v>
      </c>
      <c r="C7" s="204">
        <v>10000</v>
      </c>
      <c r="D7" s="205" t="s">
        <v>235</v>
      </c>
      <c r="E7" s="204"/>
      <c r="F7" s="205" t="s">
        <v>227</v>
      </c>
      <c r="G7" s="203">
        <f t="shared" si="0"/>
        <v>10000</v>
      </c>
      <c r="H7" s="220">
        <f>G7/(1+0.07)^A7</f>
        <v>8734.3872827321156</v>
      </c>
    </row>
    <row r="8" spans="1:8" ht="14.5" x14ac:dyDescent="0.35">
      <c r="A8" s="219">
        <v>3</v>
      </c>
      <c r="B8" s="202">
        <f t="shared" si="2"/>
        <v>2025</v>
      </c>
      <c r="C8" s="204">
        <v>35000</v>
      </c>
      <c r="D8" s="205" t="s">
        <v>237</v>
      </c>
      <c r="E8" s="204"/>
      <c r="F8" s="205" t="s">
        <v>228</v>
      </c>
      <c r="G8" s="203">
        <f t="shared" si="0"/>
        <v>35000</v>
      </c>
      <c r="H8" s="220">
        <f t="shared" si="1"/>
        <v>28570.425691179818</v>
      </c>
    </row>
    <row r="9" spans="1:8" ht="14.5" x14ac:dyDescent="0.35">
      <c r="A9" s="219">
        <v>4</v>
      </c>
      <c r="B9" s="202">
        <f t="shared" si="2"/>
        <v>2026</v>
      </c>
      <c r="C9" s="204">
        <v>10000</v>
      </c>
      <c r="D9" s="205" t="s">
        <v>235</v>
      </c>
      <c r="E9" s="204">
        <v>5500</v>
      </c>
      <c r="F9" s="205" t="s">
        <v>229</v>
      </c>
      <c r="G9" s="203">
        <f t="shared" si="0"/>
        <v>4500</v>
      </c>
      <c r="H9" s="220">
        <f>G9/(1+0.07)^A9</f>
        <v>3433.0284542138634</v>
      </c>
    </row>
    <row r="10" spans="1:8" ht="14.5" x14ac:dyDescent="0.35">
      <c r="A10" s="219">
        <v>5</v>
      </c>
      <c r="B10" s="202">
        <f t="shared" si="2"/>
        <v>2027</v>
      </c>
      <c r="C10" s="204">
        <v>255000</v>
      </c>
      <c r="D10" s="205" t="s">
        <v>238</v>
      </c>
      <c r="E10" s="204">
        <v>1500</v>
      </c>
      <c r="F10" s="205" t="s">
        <v>230</v>
      </c>
      <c r="G10" s="203">
        <f t="shared" si="0"/>
        <v>253500</v>
      </c>
      <c r="H10" s="220">
        <f t="shared" si="1"/>
        <v>180741.99649910993</v>
      </c>
    </row>
    <row r="11" spans="1:8" ht="14.5" x14ac:dyDescent="0.35">
      <c r="A11" s="219">
        <v>6</v>
      </c>
      <c r="B11" s="202">
        <f t="shared" si="2"/>
        <v>2028</v>
      </c>
      <c r="C11" s="204">
        <v>15000</v>
      </c>
      <c r="D11" s="205" t="s">
        <v>234</v>
      </c>
      <c r="E11" s="204">
        <v>5500</v>
      </c>
      <c r="F11" s="205" t="s">
        <v>229</v>
      </c>
      <c r="G11" s="203">
        <f t="shared" si="0"/>
        <v>9500</v>
      </c>
      <c r="H11" s="220">
        <f t="shared" si="1"/>
        <v>6330.2511262568687</v>
      </c>
    </row>
    <row r="12" spans="1:8" ht="14.5" x14ac:dyDescent="0.35">
      <c r="A12" s="219">
        <v>7</v>
      </c>
      <c r="B12" s="202">
        <f t="shared" si="2"/>
        <v>2029</v>
      </c>
      <c r="C12" s="204">
        <v>525000</v>
      </c>
      <c r="D12" s="205" t="s">
        <v>236</v>
      </c>
      <c r="E12" s="204">
        <v>1500</v>
      </c>
      <c r="F12" s="205" t="s">
        <v>230</v>
      </c>
      <c r="G12" s="203">
        <f t="shared" si="0"/>
        <v>523500</v>
      </c>
      <c r="H12" s="220">
        <f t="shared" si="1"/>
        <v>326009.48987658345</v>
      </c>
    </row>
    <row r="13" spans="1:8" ht="14.5" x14ac:dyDescent="0.35">
      <c r="A13" s="219">
        <v>8</v>
      </c>
      <c r="B13" s="202">
        <f t="shared" si="2"/>
        <v>2030</v>
      </c>
      <c r="C13" s="204">
        <v>20000</v>
      </c>
      <c r="D13" s="205" t="s">
        <v>235</v>
      </c>
      <c r="E13" s="204">
        <v>5500</v>
      </c>
      <c r="F13" s="205" t="s">
        <v>229</v>
      </c>
      <c r="G13" s="203">
        <f t="shared" si="0"/>
        <v>14500</v>
      </c>
      <c r="H13" s="220">
        <f t="shared" si="1"/>
        <v>8439.132016193058</v>
      </c>
    </row>
    <row r="14" spans="1:8" ht="14.5" x14ac:dyDescent="0.35">
      <c r="A14" s="219">
        <v>9</v>
      </c>
      <c r="B14" s="202">
        <f t="shared" si="2"/>
        <v>2031</v>
      </c>
      <c r="C14" s="204">
        <v>30000</v>
      </c>
      <c r="D14" s="205" t="s">
        <v>241</v>
      </c>
      <c r="E14" s="204">
        <v>1500</v>
      </c>
      <c r="F14" s="205" t="s">
        <v>230</v>
      </c>
      <c r="G14" s="203">
        <f t="shared" si="0"/>
        <v>28500</v>
      </c>
      <c r="H14" s="220">
        <f t="shared" si="1"/>
        <v>15502.111663648218</v>
      </c>
    </row>
    <row r="15" spans="1:8" ht="14.5" x14ac:dyDescent="0.35">
      <c r="A15" s="219">
        <v>10</v>
      </c>
      <c r="B15" s="202">
        <f t="shared" si="2"/>
        <v>2032</v>
      </c>
      <c r="C15" s="204">
        <v>25000</v>
      </c>
      <c r="D15" s="205" t="s">
        <v>234</v>
      </c>
      <c r="E15" s="204">
        <v>5500</v>
      </c>
      <c r="F15" s="205" t="s">
        <v>229</v>
      </c>
      <c r="G15" s="203">
        <f t="shared" si="0"/>
        <v>19500</v>
      </c>
      <c r="H15" s="220">
        <f t="shared" si="1"/>
        <v>9912.8111966269971</v>
      </c>
    </row>
    <row r="16" spans="1:8" ht="14.5" x14ac:dyDescent="0.35">
      <c r="A16" s="219">
        <v>11</v>
      </c>
      <c r="B16" s="202">
        <f t="shared" si="2"/>
        <v>2033</v>
      </c>
      <c r="C16" s="204">
        <v>50000</v>
      </c>
      <c r="D16" s="205" t="s">
        <v>239</v>
      </c>
      <c r="E16" s="204">
        <v>1500</v>
      </c>
      <c r="F16" s="205" t="s">
        <v>230</v>
      </c>
      <c r="G16" s="203">
        <f t="shared" si="0"/>
        <v>48500</v>
      </c>
      <c r="H16" s="220">
        <f t="shared" si="1"/>
        <v>23042.000624797955</v>
      </c>
    </row>
    <row r="17" spans="1:8" ht="14.5" x14ac:dyDescent="0.35">
      <c r="A17" s="219">
        <v>12</v>
      </c>
      <c r="B17" s="202">
        <f t="shared" si="2"/>
        <v>2034</v>
      </c>
      <c r="C17" s="204">
        <v>35000</v>
      </c>
      <c r="D17" s="205" t="s">
        <v>235</v>
      </c>
      <c r="E17" s="204">
        <v>5500</v>
      </c>
      <c r="F17" s="205" t="s">
        <v>229</v>
      </c>
      <c r="G17" s="203">
        <f t="shared" si="0"/>
        <v>29500</v>
      </c>
      <c r="H17" s="220">
        <f t="shared" si="1"/>
        <v>13098.35279760169</v>
      </c>
    </row>
    <row r="18" spans="1:8" ht="14.5" x14ac:dyDescent="0.35">
      <c r="A18" s="219">
        <v>13</v>
      </c>
      <c r="B18" s="202">
        <f t="shared" si="2"/>
        <v>2035</v>
      </c>
      <c r="C18" s="204">
        <v>25000</v>
      </c>
      <c r="D18" s="205" t="s">
        <v>234</v>
      </c>
      <c r="E18" s="204">
        <v>1500</v>
      </c>
      <c r="F18" s="205" t="s">
        <v>230</v>
      </c>
      <c r="G18" s="203">
        <f t="shared" si="0"/>
        <v>23500</v>
      </c>
      <c r="H18" s="220">
        <f t="shared" si="1"/>
        <v>9751.6645253806346</v>
      </c>
    </row>
    <row r="19" spans="1:8" ht="14.5" x14ac:dyDescent="0.35">
      <c r="A19" s="219">
        <v>14</v>
      </c>
      <c r="B19" s="202">
        <f t="shared" si="2"/>
        <v>2036</v>
      </c>
      <c r="C19" s="204">
        <v>40000</v>
      </c>
      <c r="D19" s="205" t="s">
        <v>234</v>
      </c>
      <c r="E19" s="204">
        <v>5500</v>
      </c>
      <c r="F19" s="205" t="s">
        <v>229</v>
      </c>
      <c r="G19" s="203">
        <f t="shared" si="0"/>
        <v>34500</v>
      </c>
      <c r="H19" s="220">
        <f t="shared" si="1"/>
        <v>13379.69481509771</v>
      </c>
    </row>
    <row r="20" spans="1:8" ht="14.5" x14ac:dyDescent="0.35">
      <c r="A20" s="219">
        <v>15</v>
      </c>
      <c r="B20" s="202">
        <f t="shared" si="2"/>
        <v>2037</v>
      </c>
      <c r="C20" s="204">
        <v>535000</v>
      </c>
      <c r="D20" s="205" t="s">
        <v>236</v>
      </c>
      <c r="E20" s="204">
        <v>1500</v>
      </c>
      <c r="F20" s="205" t="s">
        <v>230</v>
      </c>
      <c r="G20" s="203">
        <f t="shared" si="0"/>
        <v>533500</v>
      </c>
      <c r="H20" s="220">
        <f t="shared" si="1"/>
        <v>193364.95147919888</v>
      </c>
    </row>
    <row r="21" spans="1:8" ht="14.5" x14ac:dyDescent="0.35">
      <c r="A21" s="219">
        <v>16</v>
      </c>
      <c r="B21" s="202">
        <f t="shared" si="2"/>
        <v>2038</v>
      </c>
      <c r="C21" s="204">
        <v>45000</v>
      </c>
      <c r="D21" s="205" t="s">
        <v>234</v>
      </c>
      <c r="E21" s="204">
        <v>5500</v>
      </c>
      <c r="F21" s="205" t="s">
        <v>229</v>
      </c>
      <c r="G21" s="203">
        <f t="shared" si="0"/>
        <v>39500</v>
      </c>
      <c r="H21" s="220">
        <f t="shared" si="1"/>
        <v>13380.016612965615</v>
      </c>
    </row>
    <row r="22" spans="1:8" ht="14.5" x14ac:dyDescent="0.35">
      <c r="A22" s="219">
        <v>17</v>
      </c>
      <c r="B22" s="202">
        <f t="shared" si="2"/>
        <v>2039</v>
      </c>
      <c r="C22" s="204">
        <v>105000</v>
      </c>
      <c r="D22" s="205" t="s">
        <v>242</v>
      </c>
      <c r="E22" s="204">
        <v>1500</v>
      </c>
      <c r="F22" s="205" t="s">
        <v>230</v>
      </c>
      <c r="G22" s="203">
        <f t="shared" si="0"/>
        <v>103500</v>
      </c>
      <c r="H22" s="220">
        <f t="shared" si="1"/>
        <v>32765.4494130354</v>
      </c>
    </row>
    <row r="23" spans="1:8" ht="14.5" x14ac:dyDescent="0.35">
      <c r="A23" s="219">
        <v>18</v>
      </c>
      <c r="B23" s="202">
        <f t="shared" si="2"/>
        <v>2040</v>
      </c>
      <c r="C23" s="204">
        <v>45000</v>
      </c>
      <c r="D23" s="205" t="s">
        <v>234</v>
      </c>
      <c r="E23" s="204">
        <v>63000</v>
      </c>
      <c r="F23" s="205" t="s">
        <v>231</v>
      </c>
      <c r="G23" s="203">
        <f t="shared" si="0"/>
        <v>-18000</v>
      </c>
      <c r="H23" s="220">
        <f t="shared" si="1"/>
        <v>-5325.550493788769</v>
      </c>
    </row>
    <row r="24" spans="1:8" ht="14.5" x14ac:dyDescent="0.35">
      <c r="A24" s="219">
        <v>19</v>
      </c>
      <c r="B24" s="202">
        <f t="shared" si="2"/>
        <v>2041</v>
      </c>
      <c r="C24" s="204">
        <v>50000</v>
      </c>
      <c r="D24" s="205" t="s">
        <v>237</v>
      </c>
      <c r="E24" s="204">
        <v>1500</v>
      </c>
      <c r="F24" s="205" t="s">
        <v>230</v>
      </c>
      <c r="G24" s="203">
        <f t="shared" si="0"/>
        <v>48500</v>
      </c>
      <c r="H24" s="220">
        <f t="shared" si="1"/>
        <v>13410.654151025716</v>
      </c>
    </row>
    <row r="25" spans="1:8" ht="14.5" x14ac:dyDescent="0.35">
      <c r="A25" s="219">
        <v>20</v>
      </c>
      <c r="B25" s="202">
        <f t="shared" si="2"/>
        <v>2042</v>
      </c>
      <c r="C25" s="204">
        <v>50000</v>
      </c>
      <c r="D25" s="205" t="s">
        <v>235</v>
      </c>
      <c r="E25" s="204">
        <v>5500</v>
      </c>
      <c r="F25" s="205" t="s">
        <v>229</v>
      </c>
      <c r="G25" s="203">
        <f t="shared" si="0"/>
        <v>44500</v>
      </c>
      <c r="H25" s="220">
        <f t="shared" si="1"/>
        <v>11499.645625217157</v>
      </c>
    </row>
    <row r="26" spans="1:8" ht="14.5" x14ac:dyDescent="0.35">
      <c r="A26" s="219">
        <v>21</v>
      </c>
      <c r="B26" s="202">
        <f t="shared" si="2"/>
        <v>2043</v>
      </c>
      <c r="C26" s="204">
        <v>50000</v>
      </c>
      <c r="D26" s="205" t="s">
        <v>234</v>
      </c>
      <c r="E26" s="204">
        <v>1500</v>
      </c>
      <c r="F26" s="205" t="s">
        <v>230</v>
      </c>
      <c r="G26" s="203">
        <f t="shared" si="0"/>
        <v>48500</v>
      </c>
      <c r="H26" s="220">
        <f t="shared" si="1"/>
        <v>11713.384706983767</v>
      </c>
    </row>
    <row r="27" spans="1:8" ht="14.5" x14ac:dyDescent="0.35">
      <c r="A27" s="219">
        <v>22</v>
      </c>
      <c r="B27" s="202">
        <f t="shared" si="2"/>
        <v>2044</v>
      </c>
      <c r="C27" s="204">
        <v>55000</v>
      </c>
      <c r="D27" s="205" t="s">
        <v>234</v>
      </c>
      <c r="E27" s="204">
        <v>5500</v>
      </c>
      <c r="F27" s="205" t="s">
        <v>229</v>
      </c>
      <c r="G27" s="203">
        <f t="shared" si="0"/>
        <v>49500</v>
      </c>
      <c r="H27" s="220">
        <f t="shared" si="1"/>
        <v>11172.80167637916</v>
      </c>
    </row>
    <row r="28" spans="1:8" ht="14.5" x14ac:dyDescent="0.35">
      <c r="A28" s="219">
        <v>23</v>
      </c>
      <c r="B28" s="202">
        <f t="shared" si="2"/>
        <v>2045</v>
      </c>
      <c r="C28" s="204">
        <v>555000</v>
      </c>
      <c r="D28" s="205" t="s">
        <v>236</v>
      </c>
      <c r="E28" s="204">
        <v>1500</v>
      </c>
      <c r="F28" s="205" t="s">
        <v>230</v>
      </c>
      <c r="G28" s="203">
        <f t="shared" si="0"/>
        <v>553500</v>
      </c>
      <c r="H28" s="220">
        <f t="shared" si="1"/>
        <v>116759.09993157491</v>
      </c>
    </row>
    <row r="29" spans="1:8" ht="14.5" x14ac:dyDescent="0.35">
      <c r="A29" s="219">
        <v>24</v>
      </c>
      <c r="B29" s="202">
        <f t="shared" si="2"/>
        <v>2046</v>
      </c>
      <c r="C29" s="204">
        <v>60000</v>
      </c>
      <c r="D29" s="205" t="s">
        <v>235</v>
      </c>
      <c r="E29" s="204">
        <v>5500</v>
      </c>
      <c r="F29" s="205" t="s">
        <v>229</v>
      </c>
      <c r="G29" s="203">
        <f t="shared" si="0"/>
        <v>54500</v>
      </c>
      <c r="H29" s="220">
        <f t="shared" si="1"/>
        <v>10744.490787209401</v>
      </c>
    </row>
    <row r="30" spans="1:8" ht="14.5" x14ac:dyDescent="0.35">
      <c r="A30" s="219">
        <v>25</v>
      </c>
      <c r="B30" s="202">
        <f t="shared" si="2"/>
        <v>2047</v>
      </c>
      <c r="C30" s="204">
        <v>65000</v>
      </c>
      <c r="D30" s="205" t="s">
        <v>235</v>
      </c>
      <c r="E30" s="204">
        <v>1500</v>
      </c>
      <c r="F30" s="205" t="s">
        <v>230</v>
      </c>
      <c r="G30" s="203">
        <f t="shared" si="0"/>
        <v>63500</v>
      </c>
      <c r="H30" s="220">
        <f t="shared" si="1"/>
        <v>11699.822772662214</v>
      </c>
    </row>
    <row r="31" spans="1:8" ht="14.5" x14ac:dyDescent="0.35">
      <c r="A31" s="219">
        <v>26</v>
      </c>
      <c r="B31" s="202">
        <f t="shared" si="2"/>
        <v>2048</v>
      </c>
      <c r="C31" s="204">
        <v>65000</v>
      </c>
      <c r="D31" s="205" t="s">
        <v>234</v>
      </c>
      <c r="E31" s="204">
        <v>5500</v>
      </c>
      <c r="F31" s="205" t="s">
        <v>229</v>
      </c>
      <c r="G31" s="203">
        <f t="shared" si="0"/>
        <v>59500</v>
      </c>
      <c r="H31" s="220">
        <f t="shared" si="1"/>
        <v>10245.631834180613</v>
      </c>
    </row>
    <row r="32" spans="1:8" ht="14.5" x14ac:dyDescent="0.35">
      <c r="A32" s="219">
        <v>27</v>
      </c>
      <c r="B32" s="202">
        <f t="shared" si="2"/>
        <v>2049</v>
      </c>
      <c r="C32" s="206"/>
      <c r="D32" s="229" t="s">
        <v>240</v>
      </c>
      <c r="E32" s="204">
        <v>1500</v>
      </c>
      <c r="F32" s="205" t="s">
        <v>230</v>
      </c>
      <c r="G32" s="203">
        <f t="shared" si="0"/>
        <v>-1500</v>
      </c>
      <c r="H32" s="220">
        <f t="shared" si="1"/>
        <v>-241.39555095061519</v>
      </c>
    </row>
    <row r="33" spans="1:8" ht="14.5" x14ac:dyDescent="0.35">
      <c r="A33" s="219">
        <v>28</v>
      </c>
      <c r="B33" s="202">
        <f t="shared" si="2"/>
        <v>2050</v>
      </c>
      <c r="C33" s="206"/>
      <c r="D33" s="207"/>
      <c r="E33" s="204">
        <v>5500</v>
      </c>
      <c r="F33" s="205" t="s">
        <v>229</v>
      </c>
      <c r="G33" s="203">
        <f t="shared" si="0"/>
        <v>-5500</v>
      </c>
      <c r="H33" s="220">
        <f t="shared" si="1"/>
        <v>-827.21216836659426</v>
      </c>
    </row>
    <row r="34" spans="1:8" ht="14.5" x14ac:dyDescent="0.35">
      <c r="A34" s="219">
        <v>29</v>
      </c>
      <c r="B34" s="202">
        <f t="shared" si="2"/>
        <v>2051</v>
      </c>
      <c r="C34" s="206"/>
      <c r="D34" s="207"/>
      <c r="E34" s="204">
        <v>1500</v>
      </c>
      <c r="F34" s="205" t="s">
        <v>230</v>
      </c>
      <c r="G34" s="203">
        <f t="shared" si="0"/>
        <v>-1500</v>
      </c>
      <c r="H34" s="220">
        <f t="shared" si="1"/>
        <v>-210.84422303311663</v>
      </c>
    </row>
    <row r="35" spans="1:8" ht="14.5" x14ac:dyDescent="0.35">
      <c r="A35" s="219">
        <v>30</v>
      </c>
      <c r="B35" s="202">
        <f t="shared" si="2"/>
        <v>2052</v>
      </c>
      <c r="C35" s="206"/>
      <c r="D35" s="207"/>
      <c r="E35" s="204">
        <v>5500</v>
      </c>
      <c r="F35" s="205" t="s">
        <v>229</v>
      </c>
      <c r="G35" s="203">
        <f t="shared" si="0"/>
        <v>-5500</v>
      </c>
      <c r="H35" s="220">
        <f t="shared" si="1"/>
        <v>-722.51914435024389</v>
      </c>
    </row>
    <row r="36" spans="1:8" ht="14.5" x14ac:dyDescent="0.35">
      <c r="A36" s="219">
        <v>31</v>
      </c>
      <c r="B36" s="202">
        <f t="shared" si="2"/>
        <v>2053</v>
      </c>
      <c r="C36" s="206"/>
      <c r="D36" s="207"/>
      <c r="E36" s="204">
        <v>1500</v>
      </c>
      <c r="F36" s="205" t="s">
        <v>230</v>
      </c>
      <c r="G36" s="203">
        <f t="shared" si="0"/>
        <v>-1500</v>
      </c>
      <c r="H36" s="220">
        <f t="shared" si="1"/>
        <v>-184.15951002979875</v>
      </c>
    </row>
    <row r="37" spans="1:8" thickBot="1" x14ac:dyDescent="0.4">
      <c r="A37" s="221">
        <v>32</v>
      </c>
      <c r="B37" s="222">
        <f t="shared" si="2"/>
        <v>2054</v>
      </c>
      <c r="C37" s="223"/>
      <c r="D37" s="224"/>
      <c r="E37" s="225">
        <v>5500</v>
      </c>
      <c r="F37" s="226" t="s">
        <v>229</v>
      </c>
      <c r="G37" s="227">
        <f t="shared" si="0"/>
        <v>-5500</v>
      </c>
      <c r="H37" s="228">
        <f t="shared" si="1"/>
        <v>-631.07620259432599</v>
      </c>
    </row>
    <row r="38" spans="1:8" thickBot="1" x14ac:dyDescent="0.4">
      <c r="A38" s="210"/>
      <c r="B38" s="210"/>
      <c r="C38" s="211">
        <f>SUM(C5:C37)</f>
        <v>2770000</v>
      </c>
      <c r="D38" s="211"/>
      <c r="E38" s="211">
        <f>SUM(E5:E37)</f>
        <v>173500</v>
      </c>
      <c r="F38" s="211"/>
      <c r="G38" s="211">
        <f>SUM(G5:G37)</f>
        <v>2596500</v>
      </c>
      <c r="H38" s="212">
        <f>SUM(H5:H37)</f>
        <v>1077894.9868648723</v>
      </c>
    </row>
    <row r="39" spans="1:8" ht="12.5" x14ac:dyDescent="0.25">
      <c r="A39" s="196"/>
      <c r="B39" s="196"/>
      <c r="C39" s="196"/>
      <c r="D39" s="196"/>
      <c r="E39" s="196"/>
      <c r="F39" s="196"/>
      <c r="G39" s="196"/>
      <c r="H39" s="196"/>
    </row>
    <row r="40" spans="1:8" x14ac:dyDescent="0.25">
      <c r="B40" s="196"/>
      <c r="C40" s="196"/>
      <c r="D40" s="196"/>
      <c r="E40" s="196"/>
      <c r="F40" s="196"/>
      <c r="G40" s="196"/>
      <c r="H40" s="196"/>
    </row>
    <row r="41" spans="1:8" x14ac:dyDescent="0.25">
      <c r="B41" s="196"/>
      <c r="C41" s="196"/>
      <c r="D41" s="196"/>
      <c r="E41" s="196"/>
      <c r="F41" s="196"/>
      <c r="G41" s="196"/>
      <c r="H41" s="196"/>
    </row>
    <row r="42" spans="1:8" x14ac:dyDescent="0.25">
      <c r="B42" s="196"/>
      <c r="C42" s="196"/>
      <c r="D42" s="196"/>
      <c r="E42" s="196"/>
      <c r="F42" s="196"/>
      <c r="G42" s="196"/>
      <c r="H42" s="196"/>
    </row>
    <row r="43" spans="1:8" x14ac:dyDescent="0.25">
      <c r="B43" s="196"/>
      <c r="C43" s="196"/>
      <c r="D43" s="196"/>
      <c r="E43" s="196"/>
      <c r="F43" s="196"/>
      <c r="G43" s="196"/>
      <c r="H43" s="196"/>
    </row>
    <row r="44" spans="1:8" x14ac:dyDescent="0.25">
      <c r="B44" s="196"/>
      <c r="C44" s="196"/>
      <c r="D44" s="196"/>
      <c r="E44" s="196"/>
      <c r="F44" s="196"/>
      <c r="G44" s="196"/>
      <c r="H44" s="19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Q62"/>
  <sheetViews>
    <sheetView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ColWidth="10.6328125" defaultRowHeight="12.5" x14ac:dyDescent="0.25"/>
  <cols>
    <col min="2" max="2" width="8.6328125" customWidth="1"/>
    <col min="3" max="3" width="10.36328125" customWidth="1"/>
    <col min="4" max="4" width="8.81640625" customWidth="1"/>
    <col min="5" max="5" width="8.08984375" customWidth="1"/>
    <col min="6" max="6" width="8.81640625" customWidth="1"/>
    <col min="9" max="15" width="12.6328125" customWidth="1"/>
    <col min="16" max="16" width="16.6328125" customWidth="1"/>
    <col min="17" max="17" width="17.6328125" bestFit="1" customWidth="1"/>
  </cols>
  <sheetData>
    <row r="1" spans="1:16" x14ac:dyDescent="0.25">
      <c r="A1" t="s">
        <v>0</v>
      </c>
      <c r="B1" s="48" t="s">
        <v>118</v>
      </c>
      <c r="C1" s="48" t="s">
        <v>119</v>
      </c>
    </row>
    <row r="2" spans="1:16" x14ac:dyDescent="0.25">
      <c r="A2" t="s">
        <v>105</v>
      </c>
    </row>
    <row r="3" spans="1:16" x14ac:dyDescent="0.25">
      <c r="A3" t="s">
        <v>3</v>
      </c>
      <c r="C3">
        <v>2017</v>
      </c>
      <c r="I3" s="48" t="s">
        <v>59</v>
      </c>
      <c r="L3" s="48" t="s">
        <v>60</v>
      </c>
      <c r="O3" s="8" t="s">
        <v>35</v>
      </c>
    </row>
    <row r="4" spans="1:16" x14ac:dyDescent="0.25">
      <c r="A4" t="s">
        <v>1</v>
      </c>
      <c r="C4" s="99">
        <f>13146+15447</f>
        <v>28593</v>
      </c>
      <c r="D4" t="s">
        <v>10</v>
      </c>
      <c r="I4" t="s">
        <v>20</v>
      </c>
      <c r="J4" t="s">
        <v>19</v>
      </c>
      <c r="L4" t="s">
        <v>20</v>
      </c>
      <c r="M4" t="s">
        <v>19</v>
      </c>
      <c r="O4" t="s">
        <v>32</v>
      </c>
    </row>
    <row r="5" spans="1:16" x14ac:dyDescent="0.25">
      <c r="A5" t="s">
        <v>18</v>
      </c>
      <c r="C5" s="100">
        <v>2.5999999999999999E-2</v>
      </c>
      <c r="I5" t="s">
        <v>22</v>
      </c>
      <c r="L5" t="s">
        <v>30</v>
      </c>
      <c r="O5" t="s">
        <v>33</v>
      </c>
    </row>
    <row r="6" spans="1:16" x14ac:dyDescent="0.25">
      <c r="A6" t="s">
        <v>75</v>
      </c>
      <c r="C6" s="17">
        <f>C4*C5</f>
        <v>743.41800000000001</v>
      </c>
      <c r="D6" t="s">
        <v>76</v>
      </c>
      <c r="I6" s="2">
        <f>'Unit Cost Sources'!G13</f>
        <v>17.8</v>
      </c>
      <c r="J6" s="2">
        <f>'Unit Cost Sources'!G17</f>
        <v>32</v>
      </c>
      <c r="L6" s="2">
        <f>'Unit Cost Sources'!G10</f>
        <v>0.45</v>
      </c>
      <c r="M6" s="2">
        <f>'Unit Cost Sources'!G11</f>
        <v>0.94</v>
      </c>
      <c r="O6" t="s">
        <v>31</v>
      </c>
    </row>
    <row r="7" spans="1:16" x14ac:dyDescent="0.25">
      <c r="A7" t="s">
        <v>2</v>
      </c>
      <c r="C7">
        <v>1.1499999999999999</v>
      </c>
      <c r="I7" t="s">
        <v>21</v>
      </c>
      <c r="O7" s="2">
        <f>'Unit Cost Sources'!G8</f>
        <v>0.2</v>
      </c>
    </row>
    <row r="8" spans="1:16" x14ac:dyDescent="0.25">
      <c r="A8" t="s">
        <v>13</v>
      </c>
      <c r="C8" s="91">
        <v>2024</v>
      </c>
      <c r="I8" s="3">
        <f>'Unit Cost Sources'!G14</f>
        <v>1.67</v>
      </c>
      <c r="J8" s="3">
        <f>'Unit Cost Sources'!G18</f>
        <v>1</v>
      </c>
    </row>
    <row r="9" spans="1:16" x14ac:dyDescent="0.25">
      <c r="A9" t="s">
        <v>6</v>
      </c>
      <c r="C9" s="3">
        <f>'No Western Ave Bridge'!P6</f>
        <v>1.620790588564774</v>
      </c>
      <c r="D9" t="s">
        <v>11</v>
      </c>
      <c r="I9" t="s">
        <v>23</v>
      </c>
      <c r="L9" s="48" t="s">
        <v>61</v>
      </c>
    </row>
    <row r="10" spans="1:16" x14ac:dyDescent="0.25">
      <c r="A10" t="s">
        <v>7</v>
      </c>
      <c r="C10" s="3">
        <f>'No Western Ave Bridge'!P7</f>
        <v>0.20171422569238293</v>
      </c>
      <c r="D10" t="s">
        <v>12</v>
      </c>
      <c r="I10" s="4">
        <f>I6*I8</f>
        <v>29.725999999999999</v>
      </c>
      <c r="J10" s="4">
        <f>J6*J8</f>
        <v>32</v>
      </c>
    </row>
    <row r="11" spans="1:16" s="1" customFormat="1" ht="62.5" x14ac:dyDescent="0.25">
      <c r="A11" s="96" t="s">
        <v>4</v>
      </c>
      <c r="B11" s="93" t="s">
        <v>5</v>
      </c>
      <c r="C11" s="94" t="s">
        <v>8</v>
      </c>
      <c r="D11" s="94" t="s">
        <v>16</v>
      </c>
      <c r="E11" s="94" t="s">
        <v>17</v>
      </c>
      <c r="F11" s="93" t="s">
        <v>9</v>
      </c>
      <c r="G11" s="94" t="s">
        <v>14</v>
      </c>
      <c r="H11" s="94" t="s">
        <v>15</v>
      </c>
      <c r="I11" s="162" t="s">
        <v>24</v>
      </c>
      <c r="J11" s="162" t="s">
        <v>25</v>
      </c>
      <c r="K11" s="95" t="s">
        <v>26</v>
      </c>
      <c r="L11" s="162" t="s">
        <v>27</v>
      </c>
      <c r="M11" s="162" t="s">
        <v>28</v>
      </c>
      <c r="N11" s="94" t="s">
        <v>29</v>
      </c>
      <c r="O11" s="163" t="s">
        <v>34</v>
      </c>
      <c r="P11" s="95" t="s">
        <v>36</v>
      </c>
    </row>
    <row r="12" spans="1:16" x14ac:dyDescent="0.25">
      <c r="A12" s="97">
        <v>0</v>
      </c>
      <c r="B12" s="31">
        <f>C3</f>
        <v>2017</v>
      </c>
      <c r="C12" s="91">
        <f>C4</f>
        <v>28593</v>
      </c>
      <c r="D12" s="91">
        <f>C12-E12</f>
        <v>27849.581999999999</v>
      </c>
      <c r="E12" s="17">
        <f>C12*C$5</f>
        <v>743.41800000000001</v>
      </c>
      <c r="F12" s="29">
        <f t="shared" ref="F12:F43" si="0">IF(B12&lt;C$8,0,1)</f>
        <v>0</v>
      </c>
      <c r="G12">
        <f t="shared" ref="G12:G43" si="1">C$9*C12*F12*365</f>
        <v>0</v>
      </c>
      <c r="H12" s="17">
        <f t="shared" ref="H12:H43" si="2">C$10*C12*F12*365</f>
        <v>0</v>
      </c>
      <c r="I12" s="27">
        <f>I$10*H12-J12</f>
        <v>0</v>
      </c>
      <c r="J12" s="18">
        <f t="shared" ref="J12:J43" si="3">J$10*H12*C$5</f>
        <v>0</v>
      </c>
      <c r="K12" s="19">
        <f>I12+J12</f>
        <v>0</v>
      </c>
      <c r="L12" s="18">
        <f t="shared" ref="L12:L43" si="4">G12*(1-C$5)*L$6</f>
        <v>0</v>
      </c>
      <c r="M12" s="18">
        <f t="shared" ref="M12:M43" si="5">G12*C$5*M$6</f>
        <v>0</v>
      </c>
      <c r="N12" s="18">
        <f>L12+M12</f>
        <v>0</v>
      </c>
      <c r="O12" s="25">
        <f>G12*O$7</f>
        <v>0</v>
      </c>
      <c r="P12" s="19">
        <f>K12+N12+O12</f>
        <v>0</v>
      </c>
    </row>
    <row r="13" spans="1:16" x14ac:dyDescent="0.25">
      <c r="A13" s="97">
        <v>1</v>
      </c>
      <c r="B13" s="31">
        <f>B12+1</f>
        <v>2018</v>
      </c>
      <c r="C13" s="91">
        <f>IF(A13&lt;51,ROUND(C$4*(1+(C$7-1)/30*A13),-1),C12)</f>
        <v>28740</v>
      </c>
      <c r="D13" s="91">
        <f t="shared" ref="D13:D49" si="6">C13-E13</f>
        <v>27992.76</v>
      </c>
      <c r="E13" s="17">
        <f t="shared" ref="E13:E49" si="7">C13*C$5</f>
        <v>747.24</v>
      </c>
      <c r="F13" s="29">
        <f t="shared" si="0"/>
        <v>0</v>
      </c>
      <c r="G13">
        <f t="shared" si="1"/>
        <v>0</v>
      </c>
      <c r="H13" s="17">
        <f t="shared" si="2"/>
        <v>0</v>
      </c>
      <c r="I13" s="27">
        <f t="shared" ref="I13:I49" si="8">I$10*H13-J13</f>
        <v>0</v>
      </c>
      <c r="J13" s="18">
        <f t="shared" si="3"/>
        <v>0</v>
      </c>
      <c r="K13" s="19">
        <f t="shared" ref="K13:K49" si="9">I13+J13</f>
        <v>0</v>
      </c>
      <c r="L13" s="18">
        <f t="shared" si="4"/>
        <v>0</v>
      </c>
      <c r="M13" s="18">
        <f t="shared" si="5"/>
        <v>0</v>
      </c>
      <c r="N13" s="18">
        <f t="shared" ref="N13:N49" si="10">L13+M13</f>
        <v>0</v>
      </c>
      <c r="O13" s="25">
        <f t="shared" ref="O13:O49" si="11">G13*O$7</f>
        <v>0</v>
      </c>
      <c r="P13" s="19">
        <f t="shared" ref="P13:P49" si="12">K13+N13+O13</f>
        <v>0</v>
      </c>
    </row>
    <row r="14" spans="1:16" x14ac:dyDescent="0.25">
      <c r="A14" s="97">
        <v>2</v>
      </c>
      <c r="B14" s="31">
        <f t="shared" ref="B14:B49" si="13">B13+1</f>
        <v>2019</v>
      </c>
      <c r="C14" s="91">
        <f t="shared" ref="C14:C49" si="14">IF(A14&lt;51,ROUND(C$4*(1+(C$7-1)/30*A14),-1),C13)</f>
        <v>28880</v>
      </c>
      <c r="D14" s="91">
        <f t="shared" si="6"/>
        <v>28129.119999999999</v>
      </c>
      <c r="E14" s="17">
        <f t="shared" si="7"/>
        <v>750.88</v>
      </c>
      <c r="F14" s="29">
        <f t="shared" si="0"/>
        <v>0</v>
      </c>
      <c r="G14">
        <f t="shared" si="1"/>
        <v>0</v>
      </c>
      <c r="H14" s="17">
        <f t="shared" si="2"/>
        <v>0</v>
      </c>
      <c r="I14" s="27">
        <f t="shared" si="8"/>
        <v>0</v>
      </c>
      <c r="J14" s="18">
        <f t="shared" si="3"/>
        <v>0</v>
      </c>
      <c r="K14" s="19">
        <f t="shared" si="9"/>
        <v>0</v>
      </c>
      <c r="L14" s="18">
        <f t="shared" si="4"/>
        <v>0</v>
      </c>
      <c r="M14" s="18">
        <f t="shared" si="5"/>
        <v>0</v>
      </c>
      <c r="N14" s="18">
        <f t="shared" si="10"/>
        <v>0</v>
      </c>
      <c r="O14" s="25">
        <f t="shared" si="11"/>
        <v>0</v>
      </c>
      <c r="P14" s="19">
        <f t="shared" si="12"/>
        <v>0</v>
      </c>
    </row>
    <row r="15" spans="1:16" x14ac:dyDescent="0.25">
      <c r="A15" s="97">
        <v>3</v>
      </c>
      <c r="B15" s="31">
        <f t="shared" si="13"/>
        <v>2020</v>
      </c>
      <c r="C15" s="91">
        <f t="shared" si="14"/>
        <v>29020</v>
      </c>
      <c r="D15" s="91">
        <f t="shared" si="6"/>
        <v>28265.48</v>
      </c>
      <c r="E15" s="17">
        <f t="shared" si="7"/>
        <v>754.52</v>
      </c>
      <c r="F15" s="29">
        <f t="shared" si="0"/>
        <v>0</v>
      </c>
      <c r="G15">
        <f t="shared" si="1"/>
        <v>0</v>
      </c>
      <c r="H15" s="17">
        <f t="shared" si="2"/>
        <v>0</v>
      </c>
      <c r="I15" s="27">
        <f t="shared" si="8"/>
        <v>0</v>
      </c>
      <c r="J15" s="18">
        <f t="shared" si="3"/>
        <v>0</v>
      </c>
      <c r="K15" s="19">
        <f t="shared" si="9"/>
        <v>0</v>
      </c>
      <c r="L15" s="18">
        <f t="shared" si="4"/>
        <v>0</v>
      </c>
      <c r="M15" s="18">
        <f t="shared" si="5"/>
        <v>0</v>
      </c>
      <c r="N15" s="18">
        <f t="shared" si="10"/>
        <v>0</v>
      </c>
      <c r="O15" s="25">
        <f t="shared" si="11"/>
        <v>0</v>
      </c>
      <c r="P15" s="19">
        <f t="shared" si="12"/>
        <v>0</v>
      </c>
    </row>
    <row r="16" spans="1:16" x14ac:dyDescent="0.25">
      <c r="A16" s="97">
        <v>4</v>
      </c>
      <c r="B16" s="31">
        <f t="shared" si="13"/>
        <v>2021</v>
      </c>
      <c r="C16" s="91">
        <f t="shared" si="14"/>
        <v>29160</v>
      </c>
      <c r="D16" s="91">
        <f t="shared" si="6"/>
        <v>28401.84</v>
      </c>
      <c r="E16" s="17">
        <f t="shared" si="7"/>
        <v>758.16</v>
      </c>
      <c r="F16" s="29">
        <f t="shared" si="0"/>
        <v>0</v>
      </c>
      <c r="G16">
        <f t="shared" si="1"/>
        <v>0</v>
      </c>
      <c r="H16" s="17">
        <f t="shared" si="2"/>
        <v>0</v>
      </c>
      <c r="I16" s="27">
        <f t="shared" si="8"/>
        <v>0</v>
      </c>
      <c r="J16" s="18">
        <f t="shared" si="3"/>
        <v>0</v>
      </c>
      <c r="K16" s="19">
        <f t="shared" si="9"/>
        <v>0</v>
      </c>
      <c r="L16" s="18">
        <f t="shared" si="4"/>
        <v>0</v>
      </c>
      <c r="M16" s="18">
        <f t="shared" si="5"/>
        <v>0</v>
      </c>
      <c r="N16" s="18">
        <f t="shared" si="10"/>
        <v>0</v>
      </c>
      <c r="O16" s="25">
        <f t="shared" si="11"/>
        <v>0</v>
      </c>
      <c r="P16" s="19">
        <f t="shared" si="12"/>
        <v>0</v>
      </c>
    </row>
    <row r="17" spans="1:16" x14ac:dyDescent="0.25">
      <c r="A17" s="97">
        <v>5</v>
      </c>
      <c r="B17" s="31">
        <f t="shared" si="13"/>
        <v>2022</v>
      </c>
      <c r="C17" s="91">
        <f t="shared" si="14"/>
        <v>29310</v>
      </c>
      <c r="D17" s="91">
        <f t="shared" si="6"/>
        <v>28547.94</v>
      </c>
      <c r="E17" s="17">
        <f t="shared" si="7"/>
        <v>762.06</v>
      </c>
      <c r="F17" s="29">
        <f t="shared" si="0"/>
        <v>0</v>
      </c>
      <c r="G17">
        <f t="shared" si="1"/>
        <v>0</v>
      </c>
      <c r="H17" s="17">
        <f t="shared" si="2"/>
        <v>0</v>
      </c>
      <c r="I17" s="27">
        <f t="shared" si="8"/>
        <v>0</v>
      </c>
      <c r="J17" s="18">
        <f t="shared" si="3"/>
        <v>0</v>
      </c>
      <c r="K17" s="19">
        <f t="shared" si="9"/>
        <v>0</v>
      </c>
      <c r="L17" s="18">
        <f t="shared" si="4"/>
        <v>0</v>
      </c>
      <c r="M17" s="18">
        <f t="shared" si="5"/>
        <v>0</v>
      </c>
      <c r="N17" s="18">
        <f t="shared" si="10"/>
        <v>0</v>
      </c>
      <c r="O17" s="25">
        <f t="shared" si="11"/>
        <v>0</v>
      </c>
      <c r="P17" s="19">
        <f t="shared" si="12"/>
        <v>0</v>
      </c>
    </row>
    <row r="18" spans="1:16" x14ac:dyDescent="0.25">
      <c r="A18" s="97">
        <v>6</v>
      </c>
      <c r="B18" s="31">
        <f t="shared" si="13"/>
        <v>2023</v>
      </c>
      <c r="C18" s="91">
        <f t="shared" si="14"/>
        <v>29450</v>
      </c>
      <c r="D18" s="91">
        <f t="shared" si="6"/>
        <v>28684.3</v>
      </c>
      <c r="E18" s="17">
        <f t="shared" si="7"/>
        <v>765.69999999999993</v>
      </c>
      <c r="F18" s="29">
        <f t="shared" si="0"/>
        <v>0</v>
      </c>
      <c r="G18">
        <f t="shared" si="1"/>
        <v>0</v>
      </c>
      <c r="H18" s="17">
        <f t="shared" si="2"/>
        <v>0</v>
      </c>
      <c r="I18" s="27">
        <f t="shared" si="8"/>
        <v>0</v>
      </c>
      <c r="J18" s="18">
        <f t="shared" si="3"/>
        <v>0</v>
      </c>
      <c r="K18" s="19">
        <f t="shared" si="9"/>
        <v>0</v>
      </c>
      <c r="L18" s="18">
        <f t="shared" si="4"/>
        <v>0</v>
      </c>
      <c r="M18" s="18">
        <f t="shared" si="5"/>
        <v>0</v>
      </c>
      <c r="N18" s="18">
        <f t="shared" si="10"/>
        <v>0</v>
      </c>
      <c r="O18" s="25">
        <f t="shared" si="11"/>
        <v>0</v>
      </c>
      <c r="P18" s="19">
        <f t="shared" si="12"/>
        <v>0</v>
      </c>
    </row>
    <row r="19" spans="1:16" x14ac:dyDescent="0.25">
      <c r="A19" s="97">
        <v>7</v>
      </c>
      <c r="B19" s="31">
        <f t="shared" si="13"/>
        <v>2024</v>
      </c>
      <c r="C19" s="91">
        <f t="shared" si="14"/>
        <v>29590</v>
      </c>
      <c r="D19" s="91">
        <f t="shared" si="6"/>
        <v>28820.66</v>
      </c>
      <c r="E19" s="17">
        <f t="shared" si="7"/>
        <v>769.33999999999992</v>
      </c>
      <c r="F19" s="29">
        <f t="shared" si="0"/>
        <v>1</v>
      </c>
      <c r="G19" s="91">
        <f>C$9*C19*F19*365</f>
        <v>17505105.633205555</v>
      </c>
      <c r="H19" s="91">
        <f t="shared" si="2"/>
        <v>2178584.2374567282</v>
      </c>
      <c r="I19" s="27">
        <f t="shared" si="8"/>
        <v>62948012.957074709</v>
      </c>
      <c r="J19" s="18">
        <f t="shared" si="3"/>
        <v>1812582.0855639977</v>
      </c>
      <c r="K19" s="19">
        <f t="shared" si="9"/>
        <v>64760595.042638704</v>
      </c>
      <c r="L19" s="18">
        <f t="shared" si="4"/>
        <v>7672487.7990339957</v>
      </c>
      <c r="M19" s="18">
        <f t="shared" si="5"/>
        <v>427824.78167554375</v>
      </c>
      <c r="N19" s="18">
        <f t="shared" si="10"/>
        <v>8100312.5807095394</v>
      </c>
      <c r="O19" s="25">
        <f>G19*O$7</f>
        <v>3501021.1266411114</v>
      </c>
      <c r="P19" s="19">
        <f t="shared" si="12"/>
        <v>76361928.749989346</v>
      </c>
    </row>
    <row r="20" spans="1:16" x14ac:dyDescent="0.25">
      <c r="A20" s="97">
        <v>8</v>
      </c>
      <c r="B20" s="31">
        <f t="shared" si="13"/>
        <v>2025</v>
      </c>
      <c r="C20" s="91">
        <f t="shared" si="14"/>
        <v>29740</v>
      </c>
      <c r="D20" s="91">
        <f t="shared" si="6"/>
        <v>28966.76</v>
      </c>
      <c r="E20" s="17">
        <f t="shared" si="7"/>
        <v>773.24</v>
      </c>
      <c r="F20" s="29">
        <f t="shared" si="0"/>
        <v>1</v>
      </c>
      <c r="G20" s="91">
        <f t="shared" si="1"/>
        <v>17593843.917929478</v>
      </c>
      <c r="H20" s="91">
        <f t="shared" si="2"/>
        <v>2189628.0913133859</v>
      </c>
      <c r="I20" s="27">
        <f t="shared" si="8"/>
        <v>63267114.07040897</v>
      </c>
      <c r="J20" s="18">
        <f t="shared" si="3"/>
        <v>1821770.5719727369</v>
      </c>
      <c r="K20" s="19">
        <f t="shared" si="9"/>
        <v>65088884.642381705</v>
      </c>
      <c r="L20" s="18">
        <f t="shared" si="4"/>
        <v>7711381.7892284906</v>
      </c>
      <c r="M20" s="18">
        <f t="shared" si="5"/>
        <v>429993.54535419639</v>
      </c>
      <c r="N20" s="18">
        <f t="shared" si="10"/>
        <v>8141375.3345826874</v>
      </c>
      <c r="O20" s="25">
        <f t="shared" si="11"/>
        <v>3518768.7835858958</v>
      </c>
      <c r="P20" s="19">
        <f t="shared" si="12"/>
        <v>76749028.76055029</v>
      </c>
    </row>
    <row r="21" spans="1:16" x14ac:dyDescent="0.25">
      <c r="A21" s="97">
        <v>9</v>
      </c>
      <c r="B21" s="31">
        <f t="shared" si="13"/>
        <v>2026</v>
      </c>
      <c r="C21" s="91">
        <f t="shared" si="14"/>
        <v>29880</v>
      </c>
      <c r="D21" s="91">
        <f t="shared" si="6"/>
        <v>29103.119999999999</v>
      </c>
      <c r="E21" s="17">
        <f t="shared" si="7"/>
        <v>776.88</v>
      </c>
      <c r="F21" s="29">
        <f t="shared" si="0"/>
        <v>1</v>
      </c>
      <c r="G21" s="91">
        <f t="shared" si="1"/>
        <v>17676666.317005139</v>
      </c>
      <c r="H21" s="91">
        <f t="shared" si="2"/>
        <v>2199935.6882462669</v>
      </c>
      <c r="I21" s="27">
        <f t="shared" si="8"/>
        <v>63564941.776187636</v>
      </c>
      <c r="J21" s="18">
        <f t="shared" si="3"/>
        <v>1830346.492620894</v>
      </c>
      <c r="K21" s="19">
        <f t="shared" si="9"/>
        <v>65395288.268808529</v>
      </c>
      <c r="L21" s="18">
        <f t="shared" si="4"/>
        <v>7747682.8467433527</v>
      </c>
      <c r="M21" s="18">
        <f t="shared" si="5"/>
        <v>432017.72478760558</v>
      </c>
      <c r="N21" s="18">
        <f t="shared" si="10"/>
        <v>8179700.5715309586</v>
      </c>
      <c r="O21" s="25">
        <f t="shared" si="11"/>
        <v>3535333.2634010278</v>
      </c>
      <c r="P21" s="19">
        <f t="shared" si="12"/>
        <v>77110322.103740513</v>
      </c>
    </row>
    <row r="22" spans="1:16" x14ac:dyDescent="0.25">
      <c r="A22" s="97">
        <v>10</v>
      </c>
      <c r="B22" s="31">
        <f t="shared" si="13"/>
        <v>2027</v>
      </c>
      <c r="C22" s="91">
        <f t="shared" si="14"/>
        <v>30020</v>
      </c>
      <c r="D22" s="91">
        <f t="shared" si="6"/>
        <v>29239.48</v>
      </c>
      <c r="E22" s="17">
        <f t="shared" si="7"/>
        <v>780.52</v>
      </c>
      <c r="F22" s="29">
        <f t="shared" si="0"/>
        <v>1</v>
      </c>
      <c r="G22" s="91">
        <f t="shared" si="1"/>
        <v>17759488.716080796</v>
      </c>
      <c r="H22" s="91">
        <f t="shared" si="2"/>
        <v>2210243.2851791475</v>
      </c>
      <c r="I22" s="27">
        <f t="shared" si="8"/>
        <v>63862769.481966287</v>
      </c>
      <c r="J22" s="18">
        <f t="shared" si="3"/>
        <v>1838922.4132690507</v>
      </c>
      <c r="K22" s="19">
        <f t="shared" si="9"/>
        <v>65701691.895235337</v>
      </c>
      <c r="L22" s="18">
        <f t="shared" si="4"/>
        <v>7783983.904258213</v>
      </c>
      <c r="M22" s="18">
        <f t="shared" si="5"/>
        <v>434041.90422101464</v>
      </c>
      <c r="N22" s="18">
        <f t="shared" si="10"/>
        <v>8218025.8084792281</v>
      </c>
      <c r="O22" s="25">
        <f t="shared" si="11"/>
        <v>3551897.7432161593</v>
      </c>
      <c r="P22" s="19">
        <f t="shared" si="12"/>
        <v>77471615.446930721</v>
      </c>
    </row>
    <row r="23" spans="1:16" x14ac:dyDescent="0.25">
      <c r="A23" s="97">
        <v>11</v>
      </c>
      <c r="B23" s="31">
        <f t="shared" si="13"/>
        <v>2028</v>
      </c>
      <c r="C23" s="91">
        <f t="shared" si="14"/>
        <v>30170</v>
      </c>
      <c r="D23" s="91">
        <f t="shared" si="6"/>
        <v>29385.58</v>
      </c>
      <c r="E23" s="17">
        <f t="shared" si="7"/>
        <v>784.42</v>
      </c>
      <c r="F23" s="29">
        <f t="shared" si="0"/>
        <v>1</v>
      </c>
      <c r="G23" s="91">
        <f t="shared" si="1"/>
        <v>17848227.000804719</v>
      </c>
      <c r="H23" s="91">
        <f t="shared" si="2"/>
        <v>2221287.1390358056</v>
      </c>
      <c r="I23" s="27">
        <f t="shared" si="8"/>
        <v>64181870.595300563</v>
      </c>
      <c r="J23" s="18">
        <f t="shared" si="3"/>
        <v>1848110.8996777902</v>
      </c>
      <c r="K23" s="19">
        <f t="shared" si="9"/>
        <v>66029981.494978353</v>
      </c>
      <c r="L23" s="18">
        <f t="shared" si="4"/>
        <v>7822877.8944527078</v>
      </c>
      <c r="M23" s="18">
        <f t="shared" si="5"/>
        <v>436210.66789966729</v>
      </c>
      <c r="N23" s="18">
        <f t="shared" si="10"/>
        <v>8259088.5623523751</v>
      </c>
      <c r="O23" s="25">
        <f t="shared" si="11"/>
        <v>3569645.4001609441</v>
      </c>
      <c r="P23" s="19">
        <f t="shared" si="12"/>
        <v>77858715.457491666</v>
      </c>
    </row>
    <row r="24" spans="1:16" x14ac:dyDescent="0.25">
      <c r="A24" s="97">
        <v>12</v>
      </c>
      <c r="B24" s="31">
        <f t="shared" si="13"/>
        <v>2029</v>
      </c>
      <c r="C24" s="91">
        <f t="shared" si="14"/>
        <v>30310</v>
      </c>
      <c r="D24" s="91">
        <f t="shared" si="6"/>
        <v>29521.94</v>
      </c>
      <c r="E24" s="17">
        <f t="shared" si="7"/>
        <v>788.06</v>
      </c>
      <c r="F24" s="29">
        <f t="shared" si="0"/>
        <v>1</v>
      </c>
      <c r="G24" s="91">
        <f t="shared" si="1"/>
        <v>17931049.399880379</v>
      </c>
      <c r="H24" s="91">
        <f t="shared" si="2"/>
        <v>2231594.7359686862</v>
      </c>
      <c r="I24" s="27">
        <f t="shared" si="8"/>
        <v>64479698.301079214</v>
      </c>
      <c r="J24" s="18">
        <f t="shared" si="3"/>
        <v>1856686.8203259469</v>
      </c>
      <c r="K24" s="19">
        <f t="shared" si="9"/>
        <v>66336385.121405162</v>
      </c>
      <c r="L24" s="18">
        <f t="shared" si="4"/>
        <v>7859178.95196757</v>
      </c>
      <c r="M24" s="18">
        <f t="shared" si="5"/>
        <v>438234.84733307641</v>
      </c>
      <c r="N24" s="18">
        <f t="shared" si="10"/>
        <v>8297413.7993006464</v>
      </c>
      <c r="O24" s="25">
        <f t="shared" si="11"/>
        <v>3586209.8799760761</v>
      </c>
      <c r="P24" s="19">
        <f t="shared" si="12"/>
        <v>78220008.800681889</v>
      </c>
    </row>
    <row r="25" spans="1:16" x14ac:dyDescent="0.25">
      <c r="A25" s="97">
        <v>13</v>
      </c>
      <c r="B25" s="31">
        <f t="shared" si="13"/>
        <v>2030</v>
      </c>
      <c r="C25" s="91">
        <f t="shared" si="14"/>
        <v>30450</v>
      </c>
      <c r="D25" s="91">
        <f t="shared" si="6"/>
        <v>29658.3</v>
      </c>
      <c r="E25" s="17">
        <f t="shared" si="7"/>
        <v>791.69999999999993</v>
      </c>
      <c r="F25" s="29">
        <f t="shared" si="0"/>
        <v>1</v>
      </c>
      <c r="G25" s="91">
        <f t="shared" si="1"/>
        <v>18013871.79895604</v>
      </c>
      <c r="H25" s="91">
        <f t="shared" si="2"/>
        <v>2241902.3329015668</v>
      </c>
      <c r="I25" s="27">
        <f t="shared" si="8"/>
        <v>64777526.006857865</v>
      </c>
      <c r="J25" s="18">
        <f t="shared" si="3"/>
        <v>1865262.7409741036</v>
      </c>
      <c r="K25" s="19">
        <f t="shared" si="9"/>
        <v>66642788.74783197</v>
      </c>
      <c r="L25" s="18">
        <f t="shared" si="4"/>
        <v>7895480.0094824322</v>
      </c>
      <c r="M25" s="18">
        <f t="shared" si="5"/>
        <v>440259.02676648559</v>
      </c>
      <c r="N25" s="18">
        <f t="shared" si="10"/>
        <v>8335739.0362489177</v>
      </c>
      <c r="O25" s="25">
        <f t="shared" si="11"/>
        <v>3602774.3597912081</v>
      </c>
      <c r="P25" s="19">
        <f t="shared" si="12"/>
        <v>78581302.143872097</v>
      </c>
    </row>
    <row r="26" spans="1:16" x14ac:dyDescent="0.25">
      <c r="A26" s="97">
        <v>14</v>
      </c>
      <c r="B26" s="31">
        <f t="shared" si="13"/>
        <v>2031</v>
      </c>
      <c r="C26" s="91">
        <f t="shared" si="14"/>
        <v>30590</v>
      </c>
      <c r="D26" s="91">
        <f t="shared" si="6"/>
        <v>29794.66</v>
      </c>
      <c r="E26" s="17">
        <f t="shared" si="7"/>
        <v>795.33999999999992</v>
      </c>
      <c r="F26" s="29">
        <f t="shared" si="0"/>
        <v>1</v>
      </c>
      <c r="G26" s="91">
        <f t="shared" si="1"/>
        <v>18096694.198031701</v>
      </c>
      <c r="H26" s="91">
        <f t="shared" si="2"/>
        <v>2252209.9298344478</v>
      </c>
      <c r="I26" s="27">
        <f t="shared" si="8"/>
        <v>65075353.71263653</v>
      </c>
      <c r="J26" s="18">
        <f t="shared" si="3"/>
        <v>1873838.6616222605</v>
      </c>
      <c r="K26" s="19">
        <f t="shared" si="9"/>
        <v>66949192.374258794</v>
      </c>
      <c r="L26" s="18">
        <f t="shared" si="4"/>
        <v>7931781.0669972952</v>
      </c>
      <c r="M26" s="18">
        <f t="shared" si="5"/>
        <v>442283.20619989472</v>
      </c>
      <c r="N26" s="18">
        <f t="shared" si="10"/>
        <v>8374064.2731971899</v>
      </c>
      <c r="O26" s="25">
        <f t="shared" si="11"/>
        <v>3619338.8396063405</v>
      </c>
      <c r="P26" s="19">
        <f t="shared" si="12"/>
        <v>78942595.487062335</v>
      </c>
    </row>
    <row r="27" spans="1:16" x14ac:dyDescent="0.25">
      <c r="A27" s="97">
        <v>15</v>
      </c>
      <c r="B27" s="31">
        <f t="shared" si="13"/>
        <v>2032</v>
      </c>
      <c r="C27" s="91">
        <f t="shared" si="14"/>
        <v>30740</v>
      </c>
      <c r="D27" s="91">
        <f t="shared" si="6"/>
        <v>29940.76</v>
      </c>
      <c r="E27" s="17">
        <f t="shared" si="7"/>
        <v>799.24</v>
      </c>
      <c r="F27" s="29">
        <f t="shared" si="0"/>
        <v>1</v>
      </c>
      <c r="G27" s="91">
        <f t="shared" si="1"/>
        <v>18185432.48275562</v>
      </c>
      <c r="H27" s="91">
        <f t="shared" si="2"/>
        <v>2263253.7836911054</v>
      </c>
      <c r="I27" s="27">
        <f t="shared" si="8"/>
        <v>65394454.825970799</v>
      </c>
      <c r="J27" s="18">
        <f t="shared" si="3"/>
        <v>1883027.1480309996</v>
      </c>
      <c r="K27" s="19">
        <f t="shared" si="9"/>
        <v>67277481.974001795</v>
      </c>
      <c r="L27" s="18">
        <f t="shared" si="4"/>
        <v>7970675.0571917882</v>
      </c>
      <c r="M27" s="18">
        <f t="shared" si="5"/>
        <v>444451.9698785473</v>
      </c>
      <c r="N27" s="18">
        <f t="shared" si="10"/>
        <v>8415127.027070336</v>
      </c>
      <c r="O27" s="25">
        <f t="shared" si="11"/>
        <v>3637086.4965511244</v>
      </c>
      <c r="P27" s="19">
        <f t="shared" si="12"/>
        <v>79329695.497623265</v>
      </c>
    </row>
    <row r="28" spans="1:16" x14ac:dyDescent="0.25">
      <c r="A28" s="97">
        <v>16</v>
      </c>
      <c r="B28" s="31">
        <f t="shared" si="13"/>
        <v>2033</v>
      </c>
      <c r="C28" s="91">
        <f t="shared" si="14"/>
        <v>30880</v>
      </c>
      <c r="D28" s="91">
        <f t="shared" si="6"/>
        <v>30077.119999999999</v>
      </c>
      <c r="E28" s="17">
        <f t="shared" si="7"/>
        <v>802.88</v>
      </c>
      <c r="F28" s="29">
        <f t="shared" si="0"/>
        <v>1</v>
      </c>
      <c r="G28" s="91">
        <f t="shared" si="1"/>
        <v>18268254.881831281</v>
      </c>
      <c r="H28" s="91">
        <f t="shared" si="2"/>
        <v>2273561.3806239865</v>
      </c>
      <c r="I28" s="27">
        <f t="shared" si="8"/>
        <v>65692282.531749472</v>
      </c>
      <c r="J28" s="18">
        <f t="shared" si="3"/>
        <v>1891603.0686791567</v>
      </c>
      <c r="K28" s="19">
        <f t="shared" si="9"/>
        <v>67583885.600428626</v>
      </c>
      <c r="L28" s="18">
        <f t="shared" si="4"/>
        <v>8006976.1147066504</v>
      </c>
      <c r="M28" s="18">
        <f t="shared" si="5"/>
        <v>446476.14931195648</v>
      </c>
      <c r="N28" s="18">
        <f t="shared" si="10"/>
        <v>8453452.2640186064</v>
      </c>
      <c r="O28" s="25">
        <f t="shared" si="11"/>
        <v>3653650.9763662564</v>
      </c>
      <c r="P28" s="19">
        <f t="shared" si="12"/>
        <v>79690988.840813488</v>
      </c>
    </row>
    <row r="29" spans="1:16" x14ac:dyDescent="0.25">
      <c r="A29" s="97">
        <v>17</v>
      </c>
      <c r="B29" s="31">
        <f t="shared" si="13"/>
        <v>2034</v>
      </c>
      <c r="C29" s="91">
        <f t="shared" si="14"/>
        <v>31020</v>
      </c>
      <c r="D29" s="91">
        <f t="shared" si="6"/>
        <v>30213.48</v>
      </c>
      <c r="E29" s="17">
        <f t="shared" si="7"/>
        <v>806.52</v>
      </c>
      <c r="F29" s="29">
        <f t="shared" si="0"/>
        <v>1</v>
      </c>
      <c r="G29" s="91">
        <f t="shared" si="1"/>
        <v>18351077.280906942</v>
      </c>
      <c r="H29" s="91">
        <f t="shared" si="2"/>
        <v>2283868.9775568671</v>
      </c>
      <c r="I29" s="27">
        <f t="shared" si="8"/>
        <v>65990110.237528116</v>
      </c>
      <c r="J29" s="18">
        <f t="shared" si="3"/>
        <v>1900178.9893273134</v>
      </c>
      <c r="K29" s="19">
        <f t="shared" si="9"/>
        <v>67890289.226855427</v>
      </c>
      <c r="L29" s="18">
        <f t="shared" si="4"/>
        <v>8043277.1722215125</v>
      </c>
      <c r="M29" s="18">
        <f t="shared" si="5"/>
        <v>448500.32874536561</v>
      </c>
      <c r="N29" s="18">
        <f t="shared" si="10"/>
        <v>8491777.5009668786</v>
      </c>
      <c r="O29" s="25">
        <f t="shared" si="11"/>
        <v>3670215.4561813883</v>
      </c>
      <c r="P29" s="19">
        <f t="shared" si="12"/>
        <v>80052282.184003696</v>
      </c>
    </row>
    <row r="30" spans="1:16" x14ac:dyDescent="0.25">
      <c r="A30" s="97">
        <v>18</v>
      </c>
      <c r="B30" s="31">
        <f t="shared" si="13"/>
        <v>2035</v>
      </c>
      <c r="C30" s="91">
        <f t="shared" si="14"/>
        <v>31170</v>
      </c>
      <c r="D30" s="91">
        <f t="shared" si="6"/>
        <v>30359.58</v>
      </c>
      <c r="E30" s="17">
        <f t="shared" si="7"/>
        <v>810.42</v>
      </c>
      <c r="F30" s="29">
        <f t="shared" si="0"/>
        <v>1</v>
      </c>
      <c r="G30" s="91">
        <f t="shared" si="1"/>
        <v>18439815.565630861</v>
      </c>
      <c r="H30" s="91">
        <f t="shared" si="2"/>
        <v>2294912.8314135252</v>
      </c>
      <c r="I30" s="27">
        <f t="shared" si="8"/>
        <v>66309211.350862399</v>
      </c>
      <c r="J30" s="18">
        <f t="shared" si="3"/>
        <v>1909367.4757360527</v>
      </c>
      <c r="K30" s="19">
        <f t="shared" si="9"/>
        <v>68218578.826598451</v>
      </c>
      <c r="L30" s="18">
        <f t="shared" si="4"/>
        <v>8082171.1624160055</v>
      </c>
      <c r="M30" s="18">
        <f t="shared" si="5"/>
        <v>450669.09242401819</v>
      </c>
      <c r="N30" s="18">
        <f t="shared" si="10"/>
        <v>8532840.2548400238</v>
      </c>
      <c r="O30" s="25">
        <f t="shared" si="11"/>
        <v>3687963.1131261722</v>
      </c>
      <c r="P30" s="19">
        <f t="shared" si="12"/>
        <v>80439382.194564655</v>
      </c>
    </row>
    <row r="31" spans="1:16" x14ac:dyDescent="0.25">
      <c r="A31" s="97">
        <v>19</v>
      </c>
      <c r="B31" s="31">
        <f t="shared" si="13"/>
        <v>2036</v>
      </c>
      <c r="C31" s="91">
        <f t="shared" si="14"/>
        <v>31310</v>
      </c>
      <c r="D31" s="91">
        <f t="shared" si="6"/>
        <v>30495.94</v>
      </c>
      <c r="E31" s="17">
        <f t="shared" si="7"/>
        <v>814.06</v>
      </c>
      <c r="F31" s="29">
        <f t="shared" si="0"/>
        <v>1</v>
      </c>
      <c r="G31" s="91">
        <f t="shared" si="1"/>
        <v>18522637.964706521</v>
      </c>
      <c r="H31" s="91">
        <f t="shared" si="2"/>
        <v>2305220.4283464057</v>
      </c>
      <c r="I31" s="27">
        <f t="shared" si="8"/>
        <v>66607039.056641042</v>
      </c>
      <c r="J31" s="18">
        <f t="shared" si="3"/>
        <v>1917943.3963842094</v>
      </c>
      <c r="K31" s="19">
        <f t="shared" si="9"/>
        <v>68524982.453025252</v>
      </c>
      <c r="L31" s="18">
        <f t="shared" si="4"/>
        <v>8118472.2199308677</v>
      </c>
      <c r="M31" s="18">
        <f t="shared" si="5"/>
        <v>452693.27185742732</v>
      </c>
      <c r="N31" s="18">
        <f t="shared" si="10"/>
        <v>8571165.4917882942</v>
      </c>
      <c r="O31" s="25">
        <f t="shared" si="11"/>
        <v>3704527.5929413047</v>
      </c>
      <c r="P31" s="19">
        <f t="shared" si="12"/>
        <v>80800675.537754849</v>
      </c>
    </row>
    <row r="32" spans="1:16" x14ac:dyDescent="0.25">
      <c r="A32" s="97">
        <v>20</v>
      </c>
      <c r="B32" s="31">
        <f t="shared" si="13"/>
        <v>2037</v>
      </c>
      <c r="C32" s="91">
        <f t="shared" si="14"/>
        <v>31450</v>
      </c>
      <c r="D32" s="91">
        <f t="shared" si="6"/>
        <v>30632.3</v>
      </c>
      <c r="E32" s="17">
        <f t="shared" si="7"/>
        <v>817.69999999999993</v>
      </c>
      <c r="F32" s="29">
        <f t="shared" si="0"/>
        <v>1</v>
      </c>
      <c r="G32" s="91">
        <f t="shared" si="1"/>
        <v>18605460.363782182</v>
      </c>
      <c r="H32" s="91">
        <f t="shared" si="2"/>
        <v>2315528.0252792863</v>
      </c>
      <c r="I32" s="27">
        <f t="shared" si="8"/>
        <v>66904866.762419701</v>
      </c>
      <c r="J32" s="18">
        <f t="shared" si="3"/>
        <v>1926519.3170323661</v>
      </c>
      <c r="K32" s="19">
        <f t="shared" si="9"/>
        <v>68831386.079452068</v>
      </c>
      <c r="L32" s="18">
        <f t="shared" si="4"/>
        <v>8154773.2774457298</v>
      </c>
      <c r="M32" s="18">
        <f t="shared" si="5"/>
        <v>454717.4512908365</v>
      </c>
      <c r="N32" s="18">
        <f t="shared" si="10"/>
        <v>8609490.7287365664</v>
      </c>
      <c r="O32" s="25">
        <f t="shared" si="11"/>
        <v>3721092.0727564367</v>
      </c>
      <c r="P32" s="19">
        <f t="shared" si="12"/>
        <v>81161968.880945072</v>
      </c>
    </row>
    <row r="33" spans="1:16" x14ac:dyDescent="0.25">
      <c r="A33" s="97">
        <v>21</v>
      </c>
      <c r="B33" s="31">
        <f t="shared" si="13"/>
        <v>2038</v>
      </c>
      <c r="C33" s="91">
        <f t="shared" si="14"/>
        <v>31600</v>
      </c>
      <c r="D33" s="91">
        <f t="shared" si="6"/>
        <v>30778.400000000001</v>
      </c>
      <c r="E33" s="17">
        <f t="shared" si="7"/>
        <v>821.59999999999991</v>
      </c>
      <c r="F33" s="29">
        <f t="shared" si="0"/>
        <v>1</v>
      </c>
      <c r="G33" s="91">
        <f t="shared" si="1"/>
        <v>18694198.648506101</v>
      </c>
      <c r="H33" s="91">
        <f t="shared" si="2"/>
        <v>2326571.8791359449</v>
      </c>
      <c r="I33" s="27">
        <f t="shared" si="8"/>
        <v>67223967.875753984</v>
      </c>
      <c r="J33" s="18">
        <f t="shared" si="3"/>
        <v>1935707.8034411061</v>
      </c>
      <c r="K33" s="19">
        <f t="shared" si="9"/>
        <v>69159675.679195091</v>
      </c>
      <c r="L33" s="18">
        <f t="shared" si="4"/>
        <v>8193667.2676402247</v>
      </c>
      <c r="M33" s="18">
        <f t="shared" si="5"/>
        <v>456886.21496948902</v>
      </c>
      <c r="N33" s="18">
        <f t="shared" si="10"/>
        <v>8650553.4826097135</v>
      </c>
      <c r="O33" s="25">
        <f t="shared" si="11"/>
        <v>3738839.7297012205</v>
      </c>
      <c r="P33" s="19">
        <f t="shared" si="12"/>
        <v>81549068.891506031</v>
      </c>
    </row>
    <row r="34" spans="1:16" x14ac:dyDescent="0.25">
      <c r="A34" s="97">
        <v>22</v>
      </c>
      <c r="B34" s="31">
        <f t="shared" si="13"/>
        <v>2039</v>
      </c>
      <c r="C34" s="91">
        <f t="shared" si="14"/>
        <v>31740</v>
      </c>
      <c r="D34" s="91">
        <f t="shared" si="6"/>
        <v>30914.76</v>
      </c>
      <c r="E34" s="17">
        <f t="shared" si="7"/>
        <v>825.24</v>
      </c>
      <c r="F34" s="29">
        <f t="shared" si="0"/>
        <v>1</v>
      </c>
      <c r="G34" s="91">
        <f t="shared" si="1"/>
        <v>18777021.047581762</v>
      </c>
      <c r="H34" s="91">
        <f t="shared" si="2"/>
        <v>2336879.4760688255</v>
      </c>
      <c r="I34" s="27">
        <f t="shared" si="8"/>
        <v>67521795.581532642</v>
      </c>
      <c r="J34" s="18">
        <f t="shared" si="3"/>
        <v>1944283.7240892628</v>
      </c>
      <c r="K34" s="19">
        <f t="shared" si="9"/>
        <v>69466079.305621907</v>
      </c>
      <c r="L34" s="18">
        <f t="shared" si="4"/>
        <v>8229968.3251550859</v>
      </c>
      <c r="M34" s="18">
        <f t="shared" si="5"/>
        <v>458910.39440289821</v>
      </c>
      <c r="N34" s="18">
        <f t="shared" si="10"/>
        <v>8688878.7195579838</v>
      </c>
      <c r="O34" s="25">
        <f t="shared" si="11"/>
        <v>3755404.2095163525</v>
      </c>
      <c r="P34" s="19">
        <f t="shared" si="12"/>
        <v>81910362.234696239</v>
      </c>
    </row>
    <row r="35" spans="1:16" x14ac:dyDescent="0.25">
      <c r="A35" s="97">
        <v>23</v>
      </c>
      <c r="B35" s="31">
        <f t="shared" si="13"/>
        <v>2040</v>
      </c>
      <c r="C35" s="91">
        <f t="shared" si="14"/>
        <v>31880</v>
      </c>
      <c r="D35" s="91">
        <f t="shared" si="6"/>
        <v>31051.119999999999</v>
      </c>
      <c r="E35" s="17">
        <f t="shared" si="7"/>
        <v>828.88</v>
      </c>
      <c r="F35" s="29">
        <f t="shared" si="0"/>
        <v>1</v>
      </c>
      <c r="G35" s="91">
        <f t="shared" si="1"/>
        <v>18859843.446657423</v>
      </c>
      <c r="H35" s="91">
        <f t="shared" si="2"/>
        <v>2347187.0730017065</v>
      </c>
      <c r="I35" s="27">
        <f t="shared" si="8"/>
        <v>67819623.287311301</v>
      </c>
      <c r="J35" s="18">
        <f t="shared" si="3"/>
        <v>1952859.6447374197</v>
      </c>
      <c r="K35" s="19">
        <f t="shared" si="9"/>
        <v>69772482.932048723</v>
      </c>
      <c r="L35" s="18">
        <f t="shared" si="4"/>
        <v>8266269.382669948</v>
      </c>
      <c r="M35" s="18">
        <f t="shared" si="5"/>
        <v>460934.57383630739</v>
      </c>
      <c r="N35" s="18">
        <f t="shared" si="10"/>
        <v>8727203.956506256</v>
      </c>
      <c r="O35" s="25">
        <f t="shared" si="11"/>
        <v>3771968.689331485</v>
      </c>
      <c r="P35" s="19">
        <f t="shared" si="12"/>
        <v>82271655.577886462</v>
      </c>
    </row>
    <row r="36" spans="1:16" x14ac:dyDescent="0.25">
      <c r="A36" s="97">
        <v>24</v>
      </c>
      <c r="B36" s="31">
        <f t="shared" si="13"/>
        <v>2041</v>
      </c>
      <c r="C36" s="91">
        <f t="shared" si="14"/>
        <v>32020</v>
      </c>
      <c r="D36" s="91">
        <f t="shared" si="6"/>
        <v>31187.48</v>
      </c>
      <c r="E36" s="17">
        <f t="shared" si="7"/>
        <v>832.52</v>
      </c>
      <c r="F36" s="29">
        <f t="shared" si="0"/>
        <v>1</v>
      </c>
      <c r="G36" s="91">
        <f t="shared" si="1"/>
        <v>18942665.845733084</v>
      </c>
      <c r="H36" s="91">
        <f t="shared" si="2"/>
        <v>2357494.6699345871</v>
      </c>
      <c r="I36" s="27">
        <f t="shared" si="8"/>
        <v>68117450.993089959</v>
      </c>
      <c r="J36" s="18">
        <f t="shared" si="3"/>
        <v>1961435.5653855763</v>
      </c>
      <c r="K36" s="19">
        <f t="shared" si="9"/>
        <v>70078886.558475539</v>
      </c>
      <c r="L36" s="18">
        <f t="shared" si="4"/>
        <v>8302570.4401848102</v>
      </c>
      <c r="M36" s="18">
        <f t="shared" si="5"/>
        <v>462958.75326971652</v>
      </c>
      <c r="N36" s="18">
        <f t="shared" si="10"/>
        <v>8765529.1934545264</v>
      </c>
      <c r="O36" s="25">
        <f t="shared" si="11"/>
        <v>3788533.1691466169</v>
      </c>
      <c r="P36" s="19">
        <f t="shared" si="12"/>
        <v>82632948.92107667</v>
      </c>
    </row>
    <row r="37" spans="1:16" x14ac:dyDescent="0.25">
      <c r="A37" s="97">
        <v>25</v>
      </c>
      <c r="B37" s="31">
        <f t="shared" si="13"/>
        <v>2042</v>
      </c>
      <c r="C37" s="91">
        <f t="shared" si="14"/>
        <v>32170</v>
      </c>
      <c r="D37" s="91">
        <f t="shared" si="6"/>
        <v>31333.58</v>
      </c>
      <c r="E37" s="17">
        <f t="shared" si="7"/>
        <v>836.42</v>
      </c>
      <c r="F37" s="29">
        <f t="shared" si="0"/>
        <v>1</v>
      </c>
      <c r="G37" s="91">
        <f t="shared" si="1"/>
        <v>19031404.130457006</v>
      </c>
      <c r="H37" s="91">
        <f t="shared" si="2"/>
        <v>2368538.5237912452</v>
      </c>
      <c r="I37" s="27">
        <f t="shared" si="8"/>
        <v>68436552.106424227</v>
      </c>
      <c r="J37" s="18">
        <f t="shared" si="3"/>
        <v>1970624.0517943159</v>
      </c>
      <c r="K37" s="19">
        <f t="shared" si="9"/>
        <v>70407176.158218548</v>
      </c>
      <c r="L37" s="18">
        <f t="shared" si="4"/>
        <v>8341464.4303793069</v>
      </c>
      <c r="M37" s="18">
        <f t="shared" si="5"/>
        <v>465127.51694836916</v>
      </c>
      <c r="N37" s="18">
        <f t="shared" si="10"/>
        <v>8806591.9473276753</v>
      </c>
      <c r="O37" s="25">
        <f t="shared" si="11"/>
        <v>3806280.8260914013</v>
      </c>
      <c r="P37" s="19">
        <f t="shared" si="12"/>
        <v>83020048.931637615</v>
      </c>
    </row>
    <row r="38" spans="1:16" x14ac:dyDescent="0.25">
      <c r="A38" s="97">
        <v>26</v>
      </c>
      <c r="B38" s="31">
        <f t="shared" si="13"/>
        <v>2043</v>
      </c>
      <c r="C38" s="91">
        <f t="shared" si="14"/>
        <v>32310</v>
      </c>
      <c r="D38" s="91">
        <f t="shared" si="6"/>
        <v>31469.94</v>
      </c>
      <c r="E38" s="17">
        <f t="shared" si="7"/>
        <v>840.06</v>
      </c>
      <c r="F38" s="29">
        <f t="shared" si="0"/>
        <v>1</v>
      </c>
      <c r="G38" s="91">
        <f t="shared" si="1"/>
        <v>19114226.529532664</v>
      </c>
      <c r="H38" s="91">
        <f t="shared" si="2"/>
        <v>2378846.1207241258</v>
      </c>
      <c r="I38" s="27">
        <f t="shared" si="8"/>
        <v>68734379.812202886</v>
      </c>
      <c r="J38" s="18">
        <f t="shared" si="3"/>
        <v>1979199.9724424726</v>
      </c>
      <c r="K38" s="19">
        <f t="shared" si="9"/>
        <v>70713579.784645364</v>
      </c>
      <c r="L38" s="18">
        <f t="shared" si="4"/>
        <v>8377765.4878941672</v>
      </c>
      <c r="M38" s="18">
        <f t="shared" si="5"/>
        <v>467151.69638177828</v>
      </c>
      <c r="N38" s="18">
        <f t="shared" si="10"/>
        <v>8844917.1842759456</v>
      </c>
      <c r="O38" s="25">
        <f t="shared" si="11"/>
        <v>3822845.3059065328</v>
      </c>
      <c r="P38" s="19">
        <f t="shared" si="12"/>
        <v>83381342.274827838</v>
      </c>
    </row>
    <row r="39" spans="1:16" x14ac:dyDescent="0.25">
      <c r="A39" s="97">
        <v>27</v>
      </c>
      <c r="B39" s="31">
        <f t="shared" si="13"/>
        <v>2044</v>
      </c>
      <c r="C39" s="91">
        <f t="shared" si="14"/>
        <v>32450</v>
      </c>
      <c r="D39" s="91">
        <f t="shared" si="6"/>
        <v>31606.3</v>
      </c>
      <c r="E39" s="17">
        <f t="shared" si="7"/>
        <v>843.69999999999993</v>
      </c>
      <c r="F39" s="29">
        <f t="shared" si="0"/>
        <v>1</v>
      </c>
      <c r="G39" s="91">
        <f t="shared" si="1"/>
        <v>19197048.928608324</v>
      </c>
      <c r="H39" s="91">
        <f t="shared" si="2"/>
        <v>2389153.7176570063</v>
      </c>
      <c r="I39" s="27">
        <f t="shared" si="8"/>
        <v>69032207.517981529</v>
      </c>
      <c r="J39" s="18">
        <f t="shared" si="3"/>
        <v>1987775.8930906293</v>
      </c>
      <c r="K39" s="19">
        <f t="shared" si="9"/>
        <v>71019983.411072165</v>
      </c>
      <c r="L39" s="18">
        <f t="shared" si="4"/>
        <v>8414066.5454090275</v>
      </c>
      <c r="M39" s="18">
        <f t="shared" si="5"/>
        <v>469175.87581518741</v>
      </c>
      <c r="N39" s="18">
        <f t="shared" si="10"/>
        <v>8883242.4212242141</v>
      </c>
      <c r="O39" s="25">
        <f t="shared" si="11"/>
        <v>3839409.7857216652</v>
      </c>
      <c r="P39" s="19">
        <f t="shared" si="12"/>
        <v>83742635.618018031</v>
      </c>
    </row>
    <row r="40" spans="1:16" x14ac:dyDescent="0.25">
      <c r="A40" s="97">
        <v>28</v>
      </c>
      <c r="B40" s="31">
        <f t="shared" si="13"/>
        <v>2045</v>
      </c>
      <c r="C40" s="91">
        <f t="shared" si="14"/>
        <v>32600</v>
      </c>
      <c r="D40" s="91">
        <f t="shared" si="6"/>
        <v>31752.400000000001</v>
      </c>
      <c r="E40" s="17">
        <f t="shared" si="7"/>
        <v>847.59999999999991</v>
      </c>
      <c r="F40" s="29">
        <f t="shared" si="0"/>
        <v>1</v>
      </c>
      <c r="G40" s="91">
        <f t="shared" si="1"/>
        <v>19285787.213332247</v>
      </c>
      <c r="H40" s="91">
        <f t="shared" si="2"/>
        <v>2400197.5715136644</v>
      </c>
      <c r="I40" s="27">
        <f t="shared" si="8"/>
        <v>69351308.631315812</v>
      </c>
      <c r="J40" s="18">
        <f t="shared" si="3"/>
        <v>1996964.3794993688</v>
      </c>
      <c r="K40" s="19">
        <f t="shared" si="9"/>
        <v>71348273.010815188</v>
      </c>
      <c r="L40" s="18">
        <f t="shared" si="4"/>
        <v>8452960.5356035251</v>
      </c>
      <c r="M40" s="18">
        <f t="shared" si="5"/>
        <v>471344.63949384005</v>
      </c>
      <c r="N40" s="18">
        <f t="shared" si="10"/>
        <v>8924305.1750973649</v>
      </c>
      <c r="O40" s="25">
        <f t="shared" si="11"/>
        <v>3857157.4426664496</v>
      </c>
      <c r="P40" s="19">
        <f t="shared" si="12"/>
        <v>84129735.628579006</v>
      </c>
    </row>
    <row r="41" spans="1:16" x14ac:dyDescent="0.25">
      <c r="A41" s="97">
        <v>29</v>
      </c>
      <c r="B41" s="31">
        <f t="shared" si="13"/>
        <v>2046</v>
      </c>
      <c r="C41" s="91">
        <f t="shared" si="14"/>
        <v>32740</v>
      </c>
      <c r="D41" s="91">
        <f t="shared" si="6"/>
        <v>31888.76</v>
      </c>
      <c r="E41" s="17">
        <f t="shared" si="7"/>
        <v>851.24</v>
      </c>
      <c r="F41" s="29">
        <f t="shared" si="0"/>
        <v>1</v>
      </c>
      <c r="G41" s="91">
        <f t="shared" si="1"/>
        <v>19368609.612407904</v>
      </c>
      <c r="H41" s="91">
        <f t="shared" si="2"/>
        <v>2410505.168446545</v>
      </c>
      <c r="I41" s="27">
        <f t="shared" si="8"/>
        <v>69649136.337094471</v>
      </c>
      <c r="J41" s="18">
        <f t="shared" si="3"/>
        <v>2005540.3001475253</v>
      </c>
      <c r="K41" s="19">
        <f t="shared" si="9"/>
        <v>71654676.637241989</v>
      </c>
      <c r="L41" s="18">
        <f t="shared" si="4"/>
        <v>8489261.5931183845</v>
      </c>
      <c r="M41" s="18">
        <f t="shared" si="5"/>
        <v>473368.81892724911</v>
      </c>
      <c r="N41" s="18">
        <f t="shared" si="10"/>
        <v>8962630.4120456334</v>
      </c>
      <c r="O41" s="25">
        <f t="shared" si="11"/>
        <v>3873721.9224815811</v>
      </c>
      <c r="P41" s="19">
        <f t="shared" si="12"/>
        <v>84491028.971769199</v>
      </c>
    </row>
    <row r="42" spans="1:16" x14ac:dyDescent="0.25">
      <c r="A42" s="97">
        <v>30</v>
      </c>
      <c r="B42" s="31">
        <f t="shared" si="13"/>
        <v>2047</v>
      </c>
      <c r="C42" s="91">
        <f t="shared" si="14"/>
        <v>32880</v>
      </c>
      <c r="D42" s="91">
        <f t="shared" si="6"/>
        <v>32025.119999999999</v>
      </c>
      <c r="E42" s="17">
        <f t="shared" si="7"/>
        <v>854.88</v>
      </c>
      <c r="F42" s="29">
        <f t="shared" si="0"/>
        <v>1</v>
      </c>
      <c r="G42" s="91">
        <f t="shared" si="1"/>
        <v>19451432.011483565</v>
      </c>
      <c r="H42" s="91">
        <f t="shared" si="2"/>
        <v>2420812.7653794261</v>
      </c>
      <c r="I42" s="27">
        <f t="shared" si="8"/>
        <v>69946964.042873144</v>
      </c>
      <c r="J42" s="18">
        <f t="shared" si="3"/>
        <v>2014116.2207956824</v>
      </c>
      <c r="K42" s="19">
        <f t="shared" si="9"/>
        <v>71961080.26366882</v>
      </c>
      <c r="L42" s="18">
        <f t="shared" si="4"/>
        <v>8525562.6506332476</v>
      </c>
      <c r="M42" s="18">
        <f t="shared" si="5"/>
        <v>475392.9983606583</v>
      </c>
      <c r="N42" s="18">
        <f t="shared" si="10"/>
        <v>9000955.6489939056</v>
      </c>
      <c r="O42" s="25">
        <f t="shared" si="11"/>
        <v>3890286.4022967131</v>
      </c>
      <c r="P42" s="19">
        <f t="shared" si="12"/>
        <v>84852322.314959437</v>
      </c>
    </row>
    <row r="43" spans="1:16" x14ac:dyDescent="0.25">
      <c r="A43" s="97">
        <v>31</v>
      </c>
      <c r="B43" s="31">
        <f t="shared" si="13"/>
        <v>2048</v>
      </c>
      <c r="C43" s="91">
        <f t="shared" si="14"/>
        <v>33020</v>
      </c>
      <c r="D43" s="91">
        <f t="shared" si="6"/>
        <v>32161.48</v>
      </c>
      <c r="E43" s="17">
        <f t="shared" si="7"/>
        <v>858.52</v>
      </c>
      <c r="F43" s="29">
        <f t="shared" si="0"/>
        <v>1</v>
      </c>
      <c r="G43" s="91">
        <f t="shared" si="1"/>
        <v>19534254.410559226</v>
      </c>
      <c r="H43" s="91">
        <f t="shared" si="2"/>
        <v>2431120.3623123066</v>
      </c>
      <c r="I43" s="27">
        <f t="shared" si="8"/>
        <v>70244791.748651788</v>
      </c>
      <c r="J43" s="18">
        <f t="shared" si="3"/>
        <v>2022692.1414438391</v>
      </c>
      <c r="K43" s="19">
        <f t="shared" si="9"/>
        <v>72267483.890095621</v>
      </c>
      <c r="L43" s="18">
        <f t="shared" si="4"/>
        <v>8561863.7081481088</v>
      </c>
      <c r="M43" s="18">
        <f t="shared" si="5"/>
        <v>477417.17779406742</v>
      </c>
      <c r="N43" s="18">
        <f t="shared" si="10"/>
        <v>9039280.885942176</v>
      </c>
      <c r="O43" s="25">
        <f t="shared" si="11"/>
        <v>3906850.8821118455</v>
      </c>
      <c r="P43" s="19">
        <f t="shared" si="12"/>
        <v>85213615.658149645</v>
      </c>
    </row>
    <row r="44" spans="1:16" x14ac:dyDescent="0.25">
      <c r="A44" s="97">
        <v>32</v>
      </c>
      <c r="B44" s="31">
        <f t="shared" si="13"/>
        <v>2049</v>
      </c>
      <c r="C44" s="91">
        <f t="shared" si="14"/>
        <v>33170</v>
      </c>
      <c r="D44" s="91">
        <f t="shared" si="6"/>
        <v>32307.58</v>
      </c>
      <c r="E44" s="17">
        <f t="shared" si="7"/>
        <v>862.42</v>
      </c>
      <c r="F44" s="29">
        <f t="shared" ref="F44:F49" si="15">IF(B44&lt;C$8,0,1)</f>
        <v>1</v>
      </c>
      <c r="G44" s="91">
        <f t="shared" ref="G44:G49" si="16">C$9*C44*F44*365</f>
        <v>19622992.695283148</v>
      </c>
      <c r="H44" s="91">
        <f t="shared" ref="H44:H49" si="17">C$10*C44*F44*365</f>
        <v>2442164.2161689647</v>
      </c>
      <c r="I44" s="27">
        <f t="shared" si="8"/>
        <v>70563892.861986071</v>
      </c>
      <c r="J44" s="18">
        <f t="shared" ref="J44:J49" si="18">J$10*H44*C$5</f>
        <v>2031880.6278525786</v>
      </c>
      <c r="K44" s="19">
        <f t="shared" si="9"/>
        <v>72595773.489838645</v>
      </c>
      <c r="L44" s="18">
        <f t="shared" ref="L44:L49" si="19">G44*(1-C$5)*L$6</f>
        <v>8600757.6983426046</v>
      </c>
      <c r="M44" s="18">
        <f t="shared" ref="M44:M49" si="20">G44*C$5*M$6</f>
        <v>479585.94147272006</v>
      </c>
      <c r="N44" s="18">
        <f t="shared" si="10"/>
        <v>9080343.6398153249</v>
      </c>
      <c r="O44" s="25">
        <f t="shared" si="11"/>
        <v>3924598.5390566299</v>
      </c>
      <c r="P44" s="19">
        <f t="shared" si="12"/>
        <v>85600715.668710604</v>
      </c>
    </row>
    <row r="45" spans="1:16" x14ac:dyDescent="0.25">
      <c r="A45" s="97">
        <v>33</v>
      </c>
      <c r="B45" s="31">
        <f t="shared" si="13"/>
        <v>2050</v>
      </c>
      <c r="C45" s="91">
        <f t="shared" si="14"/>
        <v>33310</v>
      </c>
      <c r="D45" s="91">
        <f t="shared" si="6"/>
        <v>32443.94</v>
      </c>
      <c r="E45" s="17">
        <f t="shared" si="7"/>
        <v>866.06</v>
      </c>
      <c r="F45" s="29">
        <f t="shared" si="15"/>
        <v>1</v>
      </c>
      <c r="G45" s="91">
        <f t="shared" si="16"/>
        <v>19705815.094358806</v>
      </c>
      <c r="H45" s="91">
        <f t="shared" si="17"/>
        <v>2452471.8131018453</v>
      </c>
      <c r="I45" s="27">
        <f t="shared" si="8"/>
        <v>70861720.567764714</v>
      </c>
      <c r="J45" s="18">
        <f t="shared" si="18"/>
        <v>2040456.5485007353</v>
      </c>
      <c r="K45" s="19">
        <f t="shared" si="9"/>
        <v>72902177.116265446</v>
      </c>
      <c r="L45" s="18">
        <f t="shared" si="19"/>
        <v>8637058.7558574658</v>
      </c>
      <c r="M45" s="18">
        <f t="shared" si="20"/>
        <v>481610.12090612919</v>
      </c>
      <c r="N45" s="18">
        <f t="shared" si="10"/>
        <v>9118668.8767635953</v>
      </c>
      <c r="O45" s="25">
        <f t="shared" si="11"/>
        <v>3941163.0188717614</v>
      </c>
      <c r="P45" s="19">
        <f t="shared" si="12"/>
        <v>85962009.011900797</v>
      </c>
    </row>
    <row r="46" spans="1:16" x14ac:dyDescent="0.25">
      <c r="A46" s="97">
        <v>34</v>
      </c>
      <c r="B46" s="31">
        <f t="shared" si="13"/>
        <v>2051</v>
      </c>
      <c r="C46" s="91">
        <f t="shared" si="14"/>
        <v>33450</v>
      </c>
      <c r="D46" s="91">
        <f t="shared" si="6"/>
        <v>32580.3</v>
      </c>
      <c r="E46" s="17">
        <f t="shared" si="7"/>
        <v>869.69999999999993</v>
      </c>
      <c r="F46" s="29">
        <f t="shared" si="15"/>
        <v>1</v>
      </c>
      <c r="G46" s="91">
        <f t="shared" si="16"/>
        <v>19788637.493434466</v>
      </c>
      <c r="H46" s="91">
        <f t="shared" si="17"/>
        <v>2462779.4100347264</v>
      </c>
      <c r="I46" s="27">
        <f t="shared" si="8"/>
        <v>71159548.273543388</v>
      </c>
      <c r="J46" s="18">
        <f t="shared" si="18"/>
        <v>2049032.4691488922</v>
      </c>
      <c r="K46" s="19">
        <f t="shared" si="9"/>
        <v>73208580.742692277</v>
      </c>
      <c r="L46" s="18">
        <f t="shared" si="19"/>
        <v>8673359.813372327</v>
      </c>
      <c r="M46" s="18">
        <f t="shared" si="20"/>
        <v>483634.30033953831</v>
      </c>
      <c r="N46" s="18">
        <f t="shared" si="10"/>
        <v>9156994.1137118656</v>
      </c>
      <c r="O46" s="25">
        <f t="shared" si="11"/>
        <v>3957727.4986868934</v>
      </c>
      <c r="P46" s="19">
        <f t="shared" si="12"/>
        <v>86323302.355091035</v>
      </c>
    </row>
    <row r="47" spans="1:16" x14ac:dyDescent="0.25">
      <c r="A47" s="98">
        <v>35</v>
      </c>
      <c r="B47" s="31">
        <f t="shared" si="13"/>
        <v>2052</v>
      </c>
      <c r="C47" s="91">
        <f t="shared" si="14"/>
        <v>33600</v>
      </c>
      <c r="D47" s="91">
        <f t="shared" si="6"/>
        <v>32726.400000000001</v>
      </c>
      <c r="E47" s="45">
        <f t="shared" si="7"/>
        <v>873.59999999999991</v>
      </c>
      <c r="F47" s="29">
        <f t="shared" si="15"/>
        <v>1</v>
      </c>
      <c r="G47" s="91">
        <f t="shared" si="16"/>
        <v>19877375.778158389</v>
      </c>
      <c r="H47" s="92">
        <f t="shared" si="17"/>
        <v>2473823.263891384</v>
      </c>
      <c r="I47" s="18">
        <f t="shared" si="8"/>
        <v>71478649.386877656</v>
      </c>
      <c r="J47" s="18">
        <f t="shared" si="18"/>
        <v>2058220.9555576313</v>
      </c>
      <c r="K47" s="19">
        <f t="shared" si="9"/>
        <v>73536870.342435285</v>
      </c>
      <c r="L47" s="18">
        <f t="shared" si="19"/>
        <v>8712253.8035668228</v>
      </c>
      <c r="M47" s="18">
        <f t="shared" si="20"/>
        <v>485803.06401819095</v>
      </c>
      <c r="N47" s="19">
        <f t="shared" si="10"/>
        <v>9198056.8675850146</v>
      </c>
      <c r="O47" s="25">
        <f t="shared" si="11"/>
        <v>3975475.1556316782</v>
      </c>
      <c r="P47" s="25">
        <f t="shared" si="12"/>
        <v>86710402.36565198</v>
      </c>
    </row>
    <row r="48" spans="1:16" x14ac:dyDescent="0.25">
      <c r="A48" s="97">
        <v>36</v>
      </c>
      <c r="B48" s="31">
        <f t="shared" si="13"/>
        <v>2053</v>
      </c>
      <c r="C48" s="91">
        <f t="shared" si="14"/>
        <v>33740</v>
      </c>
      <c r="D48" s="91">
        <f t="shared" si="6"/>
        <v>32862.76</v>
      </c>
      <c r="E48" s="17">
        <f t="shared" si="7"/>
        <v>877.24</v>
      </c>
      <c r="F48" s="29">
        <f t="shared" si="15"/>
        <v>1</v>
      </c>
      <c r="G48" s="91">
        <f t="shared" si="16"/>
        <v>19960198.177234046</v>
      </c>
      <c r="H48" s="91">
        <f t="shared" si="17"/>
        <v>2484130.8608242651</v>
      </c>
      <c r="I48" s="27">
        <f t="shared" si="8"/>
        <v>71776477.092656314</v>
      </c>
      <c r="J48" s="18">
        <f t="shared" si="18"/>
        <v>2066796.8762057885</v>
      </c>
      <c r="K48" s="19">
        <f t="shared" si="9"/>
        <v>73843273.968862101</v>
      </c>
      <c r="L48" s="18">
        <f t="shared" si="19"/>
        <v>8748554.8610816821</v>
      </c>
      <c r="M48" s="18">
        <f t="shared" si="20"/>
        <v>487827.24345160008</v>
      </c>
      <c r="N48" s="18">
        <f t="shared" si="10"/>
        <v>9236382.104533283</v>
      </c>
      <c r="O48" s="25">
        <f t="shared" si="11"/>
        <v>3992039.6354468092</v>
      </c>
      <c r="P48" s="19">
        <f t="shared" si="12"/>
        <v>87071695.708842188</v>
      </c>
    </row>
    <row r="49" spans="1:17" x14ac:dyDescent="0.25">
      <c r="A49" s="97">
        <v>37</v>
      </c>
      <c r="B49" s="31">
        <f t="shared" si="13"/>
        <v>2054</v>
      </c>
      <c r="C49" s="91">
        <f t="shared" si="14"/>
        <v>33880</v>
      </c>
      <c r="D49" s="91">
        <f t="shared" si="6"/>
        <v>32999.120000000003</v>
      </c>
      <c r="E49" s="17">
        <f t="shared" si="7"/>
        <v>880.88</v>
      </c>
      <c r="F49" s="29">
        <f t="shared" si="15"/>
        <v>1</v>
      </c>
      <c r="G49" s="91">
        <f t="shared" si="16"/>
        <v>20043020.576309707</v>
      </c>
      <c r="H49" s="91">
        <f t="shared" si="17"/>
        <v>2494438.4577571456</v>
      </c>
      <c r="I49" s="27">
        <f t="shared" si="8"/>
        <v>72074304.798434958</v>
      </c>
      <c r="J49" s="18">
        <f t="shared" si="18"/>
        <v>2075372.7968539451</v>
      </c>
      <c r="K49" s="19">
        <f t="shared" si="9"/>
        <v>74149677.595288903</v>
      </c>
      <c r="L49" s="18">
        <f t="shared" si="19"/>
        <v>8784855.9185965452</v>
      </c>
      <c r="M49" s="18">
        <f t="shared" si="20"/>
        <v>489851.4228850092</v>
      </c>
      <c r="N49" s="18">
        <f t="shared" si="10"/>
        <v>9274707.3414815553</v>
      </c>
      <c r="O49" s="25">
        <f t="shared" si="11"/>
        <v>4008604.1152619417</v>
      </c>
      <c r="P49" s="19">
        <f t="shared" si="12"/>
        <v>87432989.052032396</v>
      </c>
      <c r="Q49" s="89"/>
    </row>
    <row r="50" spans="1:17" x14ac:dyDescent="0.25">
      <c r="A50" s="16"/>
      <c r="B50" s="31"/>
      <c r="D50" s="17"/>
      <c r="E50" s="17"/>
      <c r="F50" s="29"/>
      <c r="H50" s="17"/>
      <c r="I50" s="27"/>
      <c r="J50" s="18"/>
      <c r="K50" s="19"/>
      <c r="L50" s="18"/>
      <c r="M50" s="18"/>
      <c r="N50" s="18"/>
      <c r="O50" s="25"/>
      <c r="P50" s="19"/>
    </row>
    <row r="51" spans="1:17" x14ac:dyDescent="0.25">
      <c r="A51" s="16"/>
      <c r="B51" s="31"/>
      <c r="D51" s="17"/>
      <c r="E51" s="17"/>
      <c r="F51" s="29"/>
      <c r="H51" s="17"/>
      <c r="I51" s="27"/>
      <c r="J51" s="18"/>
      <c r="K51" s="19"/>
      <c r="L51" s="18"/>
      <c r="M51" s="18"/>
      <c r="N51" s="18"/>
      <c r="O51" s="25"/>
      <c r="P51" s="19"/>
    </row>
    <row r="52" spans="1:17" x14ac:dyDescent="0.25">
      <c r="A52" s="16"/>
      <c r="B52" s="31"/>
      <c r="D52" s="17"/>
      <c r="E52" s="17"/>
      <c r="F52" s="29"/>
      <c r="H52" s="17"/>
      <c r="I52" s="27"/>
      <c r="J52" s="18"/>
      <c r="K52" s="19"/>
      <c r="L52" s="18"/>
      <c r="M52" s="18"/>
      <c r="N52" s="18"/>
      <c r="O52" s="25"/>
      <c r="P52" s="19"/>
    </row>
    <row r="53" spans="1:17" x14ac:dyDescent="0.25">
      <c r="A53" s="16"/>
      <c r="B53" s="31"/>
      <c r="D53" s="17"/>
      <c r="E53" s="17"/>
      <c r="F53" s="29"/>
      <c r="H53" s="17"/>
      <c r="I53" s="27"/>
      <c r="J53" s="18"/>
      <c r="K53" s="19"/>
      <c r="L53" s="18"/>
      <c r="M53" s="18"/>
      <c r="N53" s="18"/>
      <c r="O53" s="25"/>
      <c r="P53" s="19"/>
    </row>
    <row r="54" spans="1:17" x14ac:dyDescent="0.25">
      <c r="A54" s="16"/>
      <c r="B54" s="31"/>
      <c r="D54" s="17"/>
      <c r="E54" s="17"/>
      <c r="F54" s="29"/>
      <c r="H54" s="17"/>
      <c r="I54" s="27"/>
      <c r="J54" s="18"/>
      <c r="K54" s="19"/>
      <c r="L54" s="18"/>
      <c r="M54" s="18"/>
      <c r="N54" s="18"/>
      <c r="O54" s="25"/>
      <c r="P54" s="19"/>
    </row>
    <row r="55" spans="1:17" x14ac:dyDescent="0.25">
      <c r="A55" s="16"/>
      <c r="B55" s="31"/>
      <c r="D55" s="17"/>
      <c r="E55" s="17"/>
      <c r="F55" s="29"/>
      <c r="H55" s="17"/>
      <c r="I55" s="27"/>
      <c r="J55" s="18"/>
      <c r="K55" s="19"/>
      <c r="L55" s="18"/>
      <c r="M55" s="18"/>
      <c r="N55" s="18"/>
      <c r="O55" s="25"/>
      <c r="P55" s="19"/>
    </row>
    <row r="56" spans="1:17" x14ac:dyDescent="0.25">
      <c r="A56" s="16"/>
      <c r="B56" s="31"/>
      <c r="D56" s="17"/>
      <c r="E56" s="17"/>
      <c r="F56" s="29"/>
      <c r="H56" s="17"/>
      <c r="I56" s="27"/>
      <c r="J56" s="18"/>
      <c r="K56" s="19"/>
      <c r="L56" s="18"/>
      <c r="M56" s="18"/>
      <c r="N56" s="18"/>
      <c r="O56" s="25"/>
      <c r="P56" s="19"/>
    </row>
    <row r="57" spans="1:17" x14ac:dyDescent="0.25">
      <c r="A57" s="16"/>
      <c r="B57" s="31"/>
      <c r="D57" s="17"/>
      <c r="E57" s="17"/>
      <c r="F57" s="29"/>
      <c r="H57" s="17"/>
      <c r="I57" s="27"/>
      <c r="J57" s="18"/>
      <c r="K57" s="19"/>
      <c r="L57" s="18"/>
      <c r="M57" s="18"/>
      <c r="N57" s="18"/>
      <c r="O57" s="25"/>
      <c r="P57" s="19"/>
    </row>
    <row r="58" spans="1:17" x14ac:dyDescent="0.25">
      <c r="A58" s="16"/>
      <c r="B58" s="31"/>
      <c r="D58" s="17"/>
      <c r="E58" s="17"/>
      <c r="F58" s="29"/>
      <c r="H58" s="17"/>
      <c r="I58" s="27"/>
      <c r="J58" s="18"/>
      <c r="K58" s="19"/>
      <c r="L58" s="18"/>
      <c r="M58" s="18"/>
      <c r="N58" s="18"/>
      <c r="O58" s="25"/>
      <c r="P58" s="19"/>
    </row>
    <row r="59" spans="1:17" x14ac:dyDescent="0.25">
      <c r="A59" s="16"/>
      <c r="B59" s="31"/>
      <c r="D59" s="17"/>
      <c r="E59" s="17"/>
      <c r="F59" s="29"/>
      <c r="H59" s="17"/>
      <c r="I59" s="27"/>
      <c r="J59" s="18"/>
      <c r="K59" s="19"/>
      <c r="L59" s="18"/>
      <c r="M59" s="18"/>
      <c r="N59" s="18"/>
      <c r="O59" s="25"/>
      <c r="P59" s="19"/>
    </row>
    <row r="60" spans="1:17" x14ac:dyDescent="0.25">
      <c r="A60" s="16"/>
      <c r="B60" s="31"/>
      <c r="D60" s="17"/>
      <c r="E60" s="17"/>
      <c r="F60" s="29"/>
      <c r="H60" s="17"/>
      <c r="I60" s="27"/>
      <c r="J60" s="18"/>
      <c r="K60" s="19"/>
      <c r="L60" s="18"/>
      <c r="M60" s="18"/>
      <c r="N60" s="18"/>
      <c r="O60" s="25"/>
      <c r="P60" s="19"/>
    </row>
    <row r="61" spans="1:17" x14ac:dyDescent="0.25">
      <c r="A61" s="16"/>
      <c r="B61" s="31"/>
      <c r="D61" s="17"/>
      <c r="E61" s="17"/>
      <c r="F61" s="29"/>
      <c r="H61" s="17"/>
      <c r="I61" s="27"/>
      <c r="J61" s="18"/>
      <c r="K61" s="19"/>
      <c r="L61" s="18"/>
      <c r="M61" s="18"/>
      <c r="N61" s="18"/>
      <c r="O61" s="25"/>
      <c r="P61" s="19"/>
    </row>
    <row r="62" spans="1:17" x14ac:dyDescent="0.25">
      <c r="A62" s="20"/>
      <c r="B62" s="32"/>
      <c r="C62" s="20"/>
      <c r="D62" s="22"/>
      <c r="E62" s="22"/>
      <c r="F62" s="30"/>
      <c r="G62" s="21"/>
      <c r="H62" s="22"/>
      <c r="I62" s="28"/>
      <c r="J62" s="23"/>
      <c r="K62" s="24"/>
      <c r="L62" s="23"/>
      <c r="M62" s="23"/>
      <c r="N62" s="23"/>
      <c r="O62" s="26"/>
      <c r="P62" s="24"/>
    </row>
  </sheetData>
  <phoneticPr fontId="0" type="noConversion"/>
  <pageMargins left="0.75" right="0.75" top="1" bottom="1" header="0.5" footer="0.5"/>
  <pageSetup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28FE-3840-4B47-AD54-C9A709A9640C}">
  <sheetPr>
    <tabColor rgb="FF00B050"/>
    <pageSetUpPr fitToPage="1"/>
  </sheetPr>
  <dimension ref="A1:HW37"/>
  <sheetViews>
    <sheetView workbookViewId="0"/>
  </sheetViews>
  <sheetFormatPr defaultColWidth="9" defaultRowHeight="15" x14ac:dyDescent="0.25"/>
  <cols>
    <col min="1" max="1" width="5.1796875" style="129" customWidth="1"/>
    <col min="2" max="2" width="7.453125" style="129" customWidth="1"/>
    <col min="3" max="3" width="13.81640625" style="129" customWidth="1"/>
    <col min="4" max="4" width="66.1796875" style="129" customWidth="1"/>
    <col min="5" max="5" width="15.36328125" style="129" customWidth="1"/>
    <col min="6" max="6" width="15.1796875" style="140" bestFit="1" customWidth="1"/>
    <col min="7" max="7" width="20.1796875" style="140" bestFit="1" customWidth="1"/>
    <col min="8" max="8" width="16.36328125" style="140" bestFit="1" customWidth="1"/>
    <col min="9" max="9" width="19" style="140" bestFit="1" customWidth="1"/>
    <col min="10" max="23" width="9" style="140"/>
    <col min="24" max="231" width="9" style="129"/>
    <col min="232" max="16384" width="9" style="105"/>
  </cols>
  <sheetData>
    <row r="1" spans="1:231" x14ac:dyDescent="0.25">
      <c r="D1" s="140" t="s">
        <v>202</v>
      </c>
    </row>
    <row r="2" spans="1:231" x14ac:dyDescent="0.25">
      <c r="D2" s="140" t="s">
        <v>203</v>
      </c>
      <c r="H2" s="105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</row>
    <row r="3" spans="1:231" ht="43.5" x14ac:dyDescent="0.35">
      <c r="A3" s="157" t="s">
        <v>4</v>
      </c>
      <c r="B3" s="166" t="s">
        <v>205</v>
      </c>
      <c r="C3" s="157" t="s">
        <v>5</v>
      </c>
      <c r="D3" s="157"/>
      <c r="E3" s="177" t="s">
        <v>204</v>
      </c>
      <c r="F3" s="178" t="s">
        <v>211</v>
      </c>
      <c r="G3" s="178" t="s">
        <v>212</v>
      </c>
      <c r="H3" s="178" t="s">
        <v>213</v>
      </c>
      <c r="I3" s="178" t="s">
        <v>214</v>
      </c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</row>
    <row r="4" spans="1:231" ht="14.5" x14ac:dyDescent="0.35">
      <c r="A4" s="158">
        <v>0</v>
      </c>
      <c r="B4" s="165"/>
      <c r="C4" s="138">
        <f>'[1]Initial Project Cost'!B4</f>
        <v>2022</v>
      </c>
      <c r="D4" s="172"/>
      <c r="E4" s="179"/>
      <c r="F4" s="180"/>
      <c r="G4" s="180"/>
      <c r="H4" s="181">
        <f>SUM(F4:G4)</f>
        <v>0</v>
      </c>
      <c r="I4" s="182">
        <f>H4/(1+0.07)^B4</f>
        <v>0</v>
      </c>
      <c r="J4" s="164"/>
      <c r="K4" s="164"/>
      <c r="L4" s="171" t="s">
        <v>215</v>
      </c>
      <c r="M4" s="164">
        <v>6</v>
      </c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</row>
    <row r="5" spans="1:231" ht="14.5" x14ac:dyDescent="0.35">
      <c r="A5" s="158">
        <v>1</v>
      </c>
      <c r="B5" s="165"/>
      <c r="C5" s="138">
        <f>'[1]Initial Project Cost'!B5</f>
        <v>2023</v>
      </c>
      <c r="D5" s="172"/>
      <c r="E5" s="179"/>
      <c r="F5" s="180"/>
      <c r="G5" s="180"/>
      <c r="H5" s="181">
        <f t="shared" ref="H5:H36" si="0">SUM(F5:G5)</f>
        <v>0</v>
      </c>
      <c r="I5" s="182">
        <f t="shared" ref="I5:I36" si="1">H5/(1+0.07)^B5</f>
        <v>0</v>
      </c>
      <c r="J5" s="164"/>
      <c r="K5" s="164"/>
      <c r="L5" s="171" t="s">
        <v>216</v>
      </c>
      <c r="M5" s="164">
        <v>26</v>
      </c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</row>
    <row r="6" spans="1:231" ht="14.5" x14ac:dyDescent="0.35">
      <c r="A6" s="158">
        <v>2</v>
      </c>
      <c r="B6" s="165"/>
      <c r="C6" s="138">
        <f>'[1]Initial Project Cost'!B6</f>
        <v>2024</v>
      </c>
      <c r="D6" s="172"/>
      <c r="E6" s="179"/>
      <c r="F6" s="180"/>
      <c r="G6" s="180"/>
      <c r="H6" s="181">
        <f t="shared" si="0"/>
        <v>0</v>
      </c>
      <c r="I6" s="182">
        <f t="shared" si="1"/>
        <v>0</v>
      </c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</row>
    <row r="7" spans="1:231" ht="14.5" x14ac:dyDescent="0.35">
      <c r="A7" s="158">
        <v>3</v>
      </c>
      <c r="B7" s="165">
        <v>1</v>
      </c>
      <c r="C7" s="138">
        <f>'[1]Initial Project Cost'!B7</f>
        <v>2025</v>
      </c>
      <c r="D7" s="173" t="s">
        <v>207</v>
      </c>
      <c r="E7" s="179">
        <f>M4</f>
        <v>6</v>
      </c>
      <c r="F7" s="180">
        <f>E7/52*'VMT, VHT, and User Costs'!P20</f>
        <v>8855657.1646788809</v>
      </c>
      <c r="G7" s="180"/>
      <c r="H7" s="181">
        <f t="shared" si="0"/>
        <v>8855657.1646788809</v>
      </c>
      <c r="I7" s="182">
        <f t="shared" si="1"/>
        <v>8276315.1071765237</v>
      </c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</row>
    <row r="8" spans="1:231" ht="14.5" x14ac:dyDescent="0.35">
      <c r="A8" s="158">
        <v>4</v>
      </c>
      <c r="B8" s="165">
        <v>2</v>
      </c>
      <c r="C8" s="138">
        <f>'[1]Initial Project Cost'!B8</f>
        <v>2026</v>
      </c>
      <c r="D8" s="173"/>
      <c r="E8" s="179"/>
      <c r="F8" s="180"/>
      <c r="G8" s="180"/>
      <c r="H8" s="181">
        <f t="shared" si="0"/>
        <v>0</v>
      </c>
      <c r="I8" s="182">
        <f t="shared" si="1"/>
        <v>0</v>
      </c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</row>
    <row r="9" spans="1:231" ht="14.5" x14ac:dyDescent="0.35">
      <c r="A9" s="158">
        <v>5</v>
      </c>
      <c r="B9" s="165">
        <v>3</v>
      </c>
      <c r="C9" s="138">
        <f>'[1]Initial Project Cost'!B9</f>
        <v>2027</v>
      </c>
      <c r="D9" s="173"/>
      <c r="E9" s="179"/>
      <c r="F9" s="180"/>
      <c r="G9" s="180"/>
      <c r="H9" s="181">
        <f t="shared" si="0"/>
        <v>0</v>
      </c>
      <c r="I9" s="182">
        <f t="shared" si="1"/>
        <v>0</v>
      </c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</row>
    <row r="10" spans="1:231" ht="14.5" x14ac:dyDescent="0.35">
      <c r="A10" s="158">
        <v>6</v>
      </c>
      <c r="B10" s="165">
        <v>4</v>
      </c>
      <c r="C10" s="138">
        <f>'[1]Initial Project Cost'!B10</f>
        <v>2028</v>
      </c>
      <c r="D10" s="173"/>
      <c r="E10" s="179"/>
      <c r="F10" s="180"/>
      <c r="G10" s="180"/>
      <c r="H10" s="181">
        <f t="shared" si="0"/>
        <v>0</v>
      </c>
      <c r="I10" s="182">
        <f t="shared" si="1"/>
        <v>0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</row>
    <row r="11" spans="1:231" ht="14.5" x14ac:dyDescent="0.35">
      <c r="A11" s="158">
        <v>7</v>
      </c>
      <c r="B11" s="165">
        <v>5</v>
      </c>
      <c r="C11" s="138">
        <f>'[1]Initial Project Cost'!B11</f>
        <v>2029</v>
      </c>
      <c r="D11" s="173" t="s">
        <v>208</v>
      </c>
      <c r="E11" s="179">
        <f>M5</f>
        <v>26</v>
      </c>
      <c r="F11" s="180">
        <f>E11/52*'VMT, VHT, and User Costs'!P24</f>
        <v>39110004.400340945</v>
      </c>
      <c r="G11" s="180"/>
      <c r="H11" s="181">
        <f t="shared" si="0"/>
        <v>39110004.400340945</v>
      </c>
      <c r="I11" s="182">
        <f t="shared" si="1"/>
        <v>27884892.616988547</v>
      </c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</row>
    <row r="12" spans="1:231" ht="14.5" x14ac:dyDescent="0.35">
      <c r="A12" s="158">
        <v>8</v>
      </c>
      <c r="B12" s="165">
        <v>6</v>
      </c>
      <c r="C12" s="138">
        <f>'[1]Initial Project Cost'!B12</f>
        <v>2030</v>
      </c>
      <c r="D12" s="173"/>
      <c r="E12" s="179"/>
      <c r="F12" s="180"/>
      <c r="G12" s="180"/>
      <c r="H12" s="181">
        <f t="shared" si="0"/>
        <v>0</v>
      </c>
      <c r="I12" s="182">
        <f t="shared" si="1"/>
        <v>0</v>
      </c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</row>
    <row r="13" spans="1:231" ht="14.5" x14ac:dyDescent="0.35">
      <c r="A13" s="158">
        <v>9</v>
      </c>
      <c r="B13" s="165">
        <v>7</v>
      </c>
      <c r="C13" s="138">
        <f>'[1]Initial Project Cost'!B13</f>
        <v>2031</v>
      </c>
      <c r="D13" s="173"/>
      <c r="E13" s="179"/>
      <c r="F13" s="180"/>
      <c r="G13" s="180"/>
      <c r="H13" s="181">
        <f t="shared" si="0"/>
        <v>0</v>
      </c>
      <c r="I13" s="182">
        <f t="shared" si="1"/>
        <v>0</v>
      </c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</row>
    <row r="14" spans="1:231" ht="14.5" x14ac:dyDescent="0.35">
      <c r="A14" s="158">
        <v>10</v>
      </c>
      <c r="B14" s="165">
        <v>8</v>
      </c>
      <c r="C14" s="138">
        <f>'[1]Initial Project Cost'!B14</f>
        <v>2032</v>
      </c>
      <c r="D14" s="173"/>
      <c r="E14" s="179"/>
      <c r="F14" s="180"/>
      <c r="G14" s="180"/>
      <c r="H14" s="181">
        <f t="shared" si="0"/>
        <v>0</v>
      </c>
      <c r="I14" s="182">
        <f t="shared" si="1"/>
        <v>0</v>
      </c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</row>
    <row r="15" spans="1:231" ht="14.5" x14ac:dyDescent="0.35">
      <c r="A15" s="158">
        <v>11</v>
      </c>
      <c r="B15" s="165">
        <v>9</v>
      </c>
      <c r="C15" s="138">
        <f>'[1]Initial Project Cost'!B15</f>
        <v>2033</v>
      </c>
      <c r="D15" s="173" t="s">
        <v>207</v>
      </c>
      <c r="E15" s="183">
        <f>M4</f>
        <v>6</v>
      </c>
      <c r="F15" s="180">
        <f>E15/52*'VMT, VHT, and User Costs'!P28</f>
        <v>9195114.0970169418</v>
      </c>
      <c r="G15" s="180"/>
      <c r="H15" s="181">
        <f t="shared" si="0"/>
        <v>9195114.0970169418</v>
      </c>
      <c r="I15" s="182">
        <f t="shared" si="1"/>
        <v>5001532.8242786834</v>
      </c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</row>
    <row r="16" spans="1:231" ht="14.5" x14ac:dyDescent="0.35">
      <c r="A16" s="158">
        <v>12</v>
      </c>
      <c r="B16" s="165">
        <v>10</v>
      </c>
      <c r="C16" s="138">
        <f>'[1]Initial Project Cost'!B16</f>
        <v>2034</v>
      </c>
      <c r="D16" s="172" t="s">
        <v>206</v>
      </c>
      <c r="E16" s="183"/>
      <c r="F16" s="184"/>
      <c r="G16" s="180">
        <f>('VMT, VHT, and User Costs'!J29+'VMT, VHT, and User Costs'!M29)/2+'VMT, VHT, and User Costs'!O29*'VMT, VHT, and User Costs'!$C$5/2</f>
        <v>1222052.4599666975</v>
      </c>
      <c r="H16" s="181">
        <f t="shared" si="0"/>
        <v>1222052.4599666975</v>
      </c>
      <c r="I16" s="182">
        <f t="shared" si="1"/>
        <v>621229.50297556119</v>
      </c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</row>
    <row r="17" spans="1:231" ht="14.5" x14ac:dyDescent="0.35">
      <c r="A17" s="158">
        <v>13</v>
      </c>
      <c r="B17" s="165">
        <v>11</v>
      </c>
      <c r="C17" s="138">
        <f>'[1]Initial Project Cost'!B17</f>
        <v>2035</v>
      </c>
      <c r="D17" s="172"/>
      <c r="E17" s="183"/>
      <c r="F17" s="181"/>
      <c r="G17" s="180">
        <f>('VMT, VHT, and User Costs'!J30+'VMT, VHT, and User Costs'!M30)/2+'VMT, VHT, and User Costs'!O30*'VMT, VHT, and User Costs'!$C$5/2</f>
        <v>1227961.8045506757</v>
      </c>
      <c r="H17" s="181">
        <f t="shared" si="0"/>
        <v>1227961.8045506757</v>
      </c>
      <c r="I17" s="182">
        <f t="shared" si="1"/>
        <v>583395.80758112762</v>
      </c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</row>
    <row r="18" spans="1:231" ht="14.5" x14ac:dyDescent="0.35">
      <c r="A18" s="158">
        <v>14</v>
      </c>
      <c r="B18" s="165">
        <v>12</v>
      </c>
      <c r="C18" s="138">
        <f>'[1]Initial Project Cost'!B18</f>
        <v>2036</v>
      </c>
      <c r="D18" s="172"/>
      <c r="E18" s="183"/>
      <c r="F18" s="181"/>
      <c r="G18" s="180">
        <f>('VMT, VHT, and User Costs'!J31+'VMT, VHT, and User Costs'!M31)/2+'VMT, VHT, and User Costs'!O31*'VMT, VHT, and User Costs'!$C$5/2</f>
        <v>1233477.1928290555</v>
      </c>
      <c r="H18" s="181">
        <f t="shared" si="0"/>
        <v>1233477.1928290555</v>
      </c>
      <c r="I18" s="182">
        <f t="shared" si="1"/>
        <v>547678.6250667912</v>
      </c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</row>
    <row r="19" spans="1:231" ht="14.5" x14ac:dyDescent="0.35">
      <c r="A19" s="158">
        <v>15</v>
      </c>
      <c r="B19" s="165">
        <v>13</v>
      </c>
      <c r="C19" s="138">
        <f>'[1]Initial Project Cost'!B19</f>
        <v>2037</v>
      </c>
      <c r="D19" s="173" t="s">
        <v>208</v>
      </c>
      <c r="E19" s="183">
        <f>M5</f>
        <v>26</v>
      </c>
      <c r="F19" s="180">
        <f>E19/52*'VMT, VHT, and User Costs'!P32</f>
        <v>40580984.440472536</v>
      </c>
      <c r="G19" s="180"/>
      <c r="H19" s="181">
        <f t="shared" si="0"/>
        <v>40580984.440472536</v>
      </c>
      <c r="I19" s="182">
        <f t="shared" si="1"/>
        <v>16839665.803114023</v>
      </c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</row>
    <row r="20" spans="1:231" ht="14.5" x14ac:dyDescent="0.35">
      <c r="A20" s="158">
        <v>16</v>
      </c>
      <c r="B20" s="165">
        <v>14</v>
      </c>
      <c r="C20" s="138">
        <f>'[1]Initial Project Cost'!B20</f>
        <v>2038</v>
      </c>
      <c r="D20" s="172"/>
      <c r="E20" s="183"/>
      <c r="F20" s="181"/>
      <c r="G20" s="180">
        <f>('VMT, VHT, and User Costs'!J33+'VMT, VHT, and User Costs'!M33)/2+'VMT, VHT, and User Costs'!O33*'VMT, VHT, and User Costs'!$C$5/2</f>
        <v>1244901.9256914135</v>
      </c>
      <c r="H20" s="181">
        <f t="shared" si="0"/>
        <v>1244901.9256914135</v>
      </c>
      <c r="I20" s="182">
        <f t="shared" si="1"/>
        <v>482794.43015879876</v>
      </c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105"/>
      <c r="FD20" s="105"/>
      <c r="FE20" s="105"/>
      <c r="FF20" s="105"/>
      <c r="FG20" s="105"/>
      <c r="FH20" s="105"/>
      <c r="FI20" s="105"/>
      <c r="FJ20" s="105"/>
      <c r="FK20" s="105"/>
      <c r="FL20" s="105"/>
      <c r="FM20" s="105"/>
      <c r="FN20" s="105"/>
      <c r="FO20" s="105"/>
      <c r="FP20" s="105"/>
      <c r="FQ20" s="105"/>
      <c r="FR20" s="105"/>
      <c r="FS20" s="105"/>
      <c r="FT20" s="105"/>
      <c r="FU20" s="105"/>
      <c r="FV20" s="105"/>
      <c r="FW20" s="105"/>
      <c r="FX20" s="105"/>
      <c r="FY20" s="105"/>
      <c r="FZ20" s="105"/>
      <c r="GA20" s="105"/>
      <c r="GB20" s="105"/>
      <c r="GC20" s="105"/>
      <c r="GD20" s="105"/>
      <c r="GE20" s="105"/>
      <c r="GF20" s="105"/>
      <c r="GG20" s="105"/>
      <c r="GH20" s="105"/>
      <c r="GI20" s="105"/>
      <c r="GJ20" s="105"/>
      <c r="GK20" s="105"/>
      <c r="GL20" s="105"/>
      <c r="GM20" s="105"/>
      <c r="GN20" s="105"/>
      <c r="GO20" s="105"/>
      <c r="GP20" s="105"/>
      <c r="GQ20" s="105"/>
      <c r="GR20" s="105"/>
      <c r="GS20" s="105"/>
      <c r="GT20" s="105"/>
      <c r="GU20" s="105"/>
      <c r="GV20" s="105"/>
      <c r="GW20" s="105"/>
      <c r="GX20" s="105"/>
      <c r="GY20" s="105"/>
      <c r="GZ20" s="105"/>
      <c r="HA20" s="105"/>
      <c r="HB20" s="105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  <c r="HN20" s="105"/>
      <c r="HO20" s="105"/>
      <c r="HP20" s="105"/>
      <c r="HQ20" s="105"/>
      <c r="HR20" s="105"/>
      <c r="HS20" s="105"/>
      <c r="HT20" s="105"/>
      <c r="HU20" s="105"/>
      <c r="HV20" s="105"/>
      <c r="HW20" s="105"/>
    </row>
    <row r="21" spans="1:231" ht="14.5" x14ac:dyDescent="0.35">
      <c r="A21" s="158">
        <v>17</v>
      </c>
      <c r="B21" s="165">
        <v>15</v>
      </c>
      <c r="C21" s="138">
        <f>'[1]Initial Project Cost'!B21</f>
        <v>2039</v>
      </c>
      <c r="D21" s="173" t="s">
        <v>210</v>
      </c>
      <c r="E21" s="183"/>
      <c r="F21" s="180"/>
      <c r="G21" s="180">
        <f>('VMT, VHT, and User Costs'!J34+'VMT, VHT, and User Costs'!M34)+'VMT, VHT, and User Costs'!O34*'VMT, VHT, and User Costs'!$C$5</f>
        <v>2500834.6279395861</v>
      </c>
      <c r="H21" s="181">
        <f t="shared" si="0"/>
        <v>2500834.6279395861</v>
      </c>
      <c r="I21" s="182">
        <f t="shared" si="1"/>
        <v>906417.55668048444</v>
      </c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</row>
    <row r="22" spans="1:231" ht="14.5" x14ac:dyDescent="0.35">
      <c r="A22" s="158">
        <v>18</v>
      </c>
      <c r="B22" s="165">
        <v>16</v>
      </c>
      <c r="C22" s="138">
        <f>'[1]Initial Project Cost'!B22</f>
        <v>2040</v>
      </c>
      <c r="D22" s="174"/>
      <c r="E22" s="183"/>
      <c r="F22" s="181"/>
      <c r="G22" s="180">
        <f>('VMT, VHT, and User Costs'!J35+'VMT, VHT, and User Costs'!M35)+'VMT, VHT, and User Costs'!O35*'VMT, VHT, and User Costs'!$C$5</f>
        <v>2511865.4044963457</v>
      </c>
      <c r="H22" s="181">
        <f t="shared" si="0"/>
        <v>2511865.4044963457</v>
      </c>
      <c r="I22" s="182">
        <f t="shared" si="1"/>
        <v>850855.71751125832</v>
      </c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  <c r="HN22" s="105"/>
      <c r="HO22" s="105"/>
      <c r="HP22" s="105"/>
      <c r="HQ22" s="105"/>
      <c r="HR22" s="105"/>
      <c r="HS22" s="105"/>
      <c r="HT22" s="105"/>
      <c r="HU22" s="105"/>
      <c r="HV22" s="105"/>
      <c r="HW22" s="105"/>
    </row>
    <row r="23" spans="1:231" ht="14.5" x14ac:dyDescent="0.35">
      <c r="A23" s="158">
        <v>19</v>
      </c>
      <c r="B23" s="165">
        <v>17</v>
      </c>
      <c r="C23" s="138">
        <f>'[1]Initial Project Cost'!B23</f>
        <v>2041</v>
      </c>
      <c r="D23" s="173" t="s">
        <v>207</v>
      </c>
      <c r="E23" s="183">
        <f>M4</f>
        <v>6</v>
      </c>
      <c r="F23" s="180">
        <f>E23/52*'VMT, VHT, and User Costs'!P36</f>
        <v>9534571.0293550007</v>
      </c>
      <c r="G23" s="180"/>
      <c r="H23" s="181">
        <f t="shared" si="0"/>
        <v>9534571.0293550007</v>
      </c>
      <c r="I23" s="182">
        <f t="shared" si="1"/>
        <v>3018401.0119548226</v>
      </c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  <c r="HK23" s="105"/>
      <c r="HL23" s="105"/>
      <c r="HM23" s="105"/>
      <c r="HN23" s="105"/>
      <c r="HO23" s="105"/>
      <c r="HP23" s="105"/>
      <c r="HQ23" s="105"/>
      <c r="HR23" s="105"/>
      <c r="HS23" s="105"/>
      <c r="HT23" s="105"/>
      <c r="HU23" s="105"/>
      <c r="HV23" s="105"/>
      <c r="HW23" s="105"/>
    </row>
    <row r="24" spans="1:231" ht="14.5" x14ac:dyDescent="0.35">
      <c r="A24" s="158">
        <v>20</v>
      </c>
      <c r="B24" s="165">
        <v>18</v>
      </c>
      <c r="C24" s="138">
        <f>'[1]Initial Project Cost'!B24</f>
        <v>2042</v>
      </c>
      <c r="D24" s="174"/>
      <c r="E24" s="183"/>
      <c r="F24" s="181"/>
      <c r="G24" s="180">
        <f>('VMT, VHT, and User Costs'!J37+'VMT, VHT, and User Costs'!M37)+'VMT, VHT, and User Costs'!O37*'VMT, VHT, and User Costs'!$C$5</f>
        <v>2534714.8702210616</v>
      </c>
      <c r="H24" s="181">
        <f t="shared" si="0"/>
        <v>2534714.8702210616</v>
      </c>
      <c r="I24" s="182">
        <f t="shared" si="1"/>
        <v>749930.66826219496</v>
      </c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  <c r="HK24" s="105"/>
      <c r="HL24" s="105"/>
      <c r="HM24" s="105"/>
      <c r="HN24" s="105"/>
      <c r="HO24" s="105"/>
      <c r="HP24" s="105"/>
      <c r="HQ24" s="105"/>
      <c r="HR24" s="105"/>
      <c r="HS24" s="105"/>
      <c r="HT24" s="105"/>
      <c r="HU24" s="105"/>
      <c r="HV24" s="105"/>
      <c r="HW24" s="105"/>
    </row>
    <row r="25" spans="1:231" ht="14.5" x14ac:dyDescent="0.35">
      <c r="A25" s="158">
        <v>21</v>
      </c>
      <c r="B25" s="165">
        <v>19</v>
      </c>
      <c r="C25" s="138">
        <f>'[1]Initial Project Cost'!B25</f>
        <v>2043</v>
      </c>
      <c r="D25" s="174"/>
      <c r="E25" s="183"/>
      <c r="F25" s="181"/>
      <c r="G25" s="180">
        <f>('VMT, VHT, and User Costs'!J38+'VMT, VHT, and User Costs'!M38)+'VMT, VHT, and User Costs'!O38*'VMT, VHT, and User Costs'!$C$5</f>
        <v>2545745.6467778208</v>
      </c>
      <c r="H25" s="181">
        <f t="shared" si="0"/>
        <v>2545745.6467778208</v>
      </c>
      <c r="I25" s="182">
        <f t="shared" si="1"/>
        <v>703919.88506013667</v>
      </c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  <c r="HK25" s="105"/>
      <c r="HL25" s="105"/>
      <c r="HM25" s="105"/>
      <c r="HN25" s="105"/>
      <c r="HO25" s="105"/>
      <c r="HP25" s="105"/>
      <c r="HQ25" s="105"/>
      <c r="HR25" s="105"/>
      <c r="HS25" s="105"/>
      <c r="HT25" s="105"/>
      <c r="HU25" s="105"/>
      <c r="HV25" s="105"/>
      <c r="HW25" s="105"/>
    </row>
    <row r="26" spans="1:231" ht="14.5" x14ac:dyDescent="0.35">
      <c r="A26" s="158">
        <v>22</v>
      </c>
      <c r="B26" s="165">
        <v>20</v>
      </c>
      <c r="C26" s="138">
        <f>'[1]Initial Project Cost'!B26</f>
        <v>2044</v>
      </c>
      <c r="D26" s="175"/>
      <c r="E26" s="183"/>
      <c r="F26" s="180"/>
      <c r="G26" s="180"/>
      <c r="H26" s="181">
        <f t="shared" si="0"/>
        <v>0</v>
      </c>
      <c r="I26" s="182">
        <f t="shared" si="1"/>
        <v>0</v>
      </c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  <c r="HN26" s="105"/>
      <c r="HO26" s="105"/>
      <c r="HP26" s="105"/>
      <c r="HQ26" s="105"/>
      <c r="HR26" s="105"/>
      <c r="HS26" s="105"/>
      <c r="HT26" s="105"/>
      <c r="HU26" s="105"/>
      <c r="HV26" s="105"/>
      <c r="HW26" s="105"/>
    </row>
    <row r="27" spans="1:231" ht="14.5" x14ac:dyDescent="0.35">
      <c r="A27" s="158">
        <v>23</v>
      </c>
      <c r="B27" s="165">
        <v>21</v>
      </c>
      <c r="C27" s="138">
        <f>'[1]Initial Project Cost'!B27</f>
        <v>2045</v>
      </c>
      <c r="D27" s="173" t="s">
        <v>208</v>
      </c>
      <c r="E27" s="183">
        <v>26</v>
      </c>
      <c r="F27" s="180">
        <f>E27/52*'VMT, VHT, and User Costs'!P40</f>
        <v>42064867.814289503</v>
      </c>
      <c r="G27" s="180"/>
      <c r="H27" s="181">
        <f t="shared" ref="H27" si="2">SUM(F27:G27)</f>
        <v>42064867.814289503</v>
      </c>
      <c r="I27" s="182">
        <f t="shared" ref="I27" si="3">H27/(1+0.07)^B27</f>
        <v>10159216.069220461</v>
      </c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  <c r="HN27" s="105"/>
      <c r="HO27" s="105"/>
      <c r="HP27" s="105"/>
      <c r="HQ27" s="105"/>
      <c r="HR27" s="105"/>
      <c r="HS27" s="105"/>
      <c r="HT27" s="105"/>
      <c r="HU27" s="105"/>
      <c r="HV27" s="105"/>
      <c r="HW27" s="105"/>
    </row>
    <row r="28" spans="1:231" ht="14.5" x14ac:dyDescent="0.35">
      <c r="A28" s="158">
        <v>24</v>
      </c>
      <c r="B28" s="165">
        <v>22</v>
      </c>
      <c r="C28" s="138">
        <f>'[1]Initial Project Cost'!B28</f>
        <v>2046</v>
      </c>
      <c r="D28" s="174"/>
      <c r="E28" s="183"/>
      <c r="F28" s="180"/>
      <c r="G28" s="181"/>
      <c r="H28" s="181">
        <f t="shared" si="0"/>
        <v>0</v>
      </c>
      <c r="I28" s="182">
        <f t="shared" si="1"/>
        <v>0</v>
      </c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105"/>
      <c r="GH28" s="105"/>
      <c r="GI28" s="105"/>
      <c r="GJ28" s="105"/>
      <c r="GK28" s="105"/>
      <c r="GL28" s="105"/>
      <c r="GM28" s="105"/>
      <c r="GN28" s="105"/>
      <c r="GO28" s="105"/>
      <c r="GP28" s="105"/>
      <c r="GQ28" s="105"/>
      <c r="GR28" s="105"/>
      <c r="GS28" s="105"/>
      <c r="GT28" s="105"/>
      <c r="GU28" s="105"/>
      <c r="GV28" s="105"/>
      <c r="GW28" s="105"/>
      <c r="GX28" s="105"/>
      <c r="GY28" s="105"/>
      <c r="GZ28" s="105"/>
      <c r="HA28" s="105"/>
      <c r="HB28" s="105"/>
      <c r="HC28" s="105"/>
      <c r="HD28" s="105"/>
      <c r="HE28" s="105"/>
      <c r="HF28" s="105"/>
      <c r="HG28" s="105"/>
      <c r="HH28" s="105"/>
      <c r="HI28" s="105"/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5"/>
      <c r="HU28" s="105"/>
      <c r="HV28" s="105"/>
      <c r="HW28" s="105"/>
    </row>
    <row r="29" spans="1:231" ht="14.5" x14ac:dyDescent="0.35">
      <c r="A29" s="158">
        <v>25</v>
      </c>
      <c r="B29" s="165">
        <v>23</v>
      </c>
      <c r="C29" s="138">
        <f>'[1]Initial Project Cost'!B29</f>
        <v>2047</v>
      </c>
      <c r="D29" s="174"/>
      <c r="E29" s="183"/>
      <c r="F29" s="180"/>
      <c r="G29" s="181"/>
      <c r="H29" s="181">
        <f t="shared" si="0"/>
        <v>0</v>
      </c>
      <c r="I29" s="182">
        <f t="shared" si="1"/>
        <v>0</v>
      </c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5"/>
      <c r="ET29" s="105"/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  <c r="FU29" s="105"/>
      <c r="FV29" s="105"/>
      <c r="FW29" s="105"/>
      <c r="FX29" s="105"/>
      <c r="FY29" s="105"/>
      <c r="FZ29" s="105"/>
      <c r="GA29" s="105"/>
      <c r="GB29" s="105"/>
      <c r="GC29" s="105"/>
      <c r="GD29" s="105"/>
      <c r="GE29" s="105"/>
      <c r="GF29" s="105"/>
      <c r="GG29" s="105"/>
      <c r="GH29" s="105"/>
      <c r="GI29" s="105"/>
      <c r="GJ29" s="105"/>
      <c r="GK29" s="105"/>
      <c r="GL29" s="105"/>
      <c r="GM29" s="105"/>
      <c r="GN29" s="105"/>
      <c r="GO29" s="105"/>
      <c r="GP29" s="105"/>
      <c r="GQ29" s="105"/>
      <c r="GR29" s="105"/>
      <c r="GS29" s="105"/>
      <c r="GT29" s="105"/>
      <c r="GU29" s="105"/>
      <c r="GV29" s="105"/>
      <c r="GW29" s="105"/>
      <c r="GX29" s="105"/>
      <c r="GY29" s="105"/>
      <c r="GZ29" s="105"/>
      <c r="HA29" s="105"/>
      <c r="HB29" s="105"/>
      <c r="HC29" s="105"/>
      <c r="HD29" s="105"/>
      <c r="HE29" s="105"/>
      <c r="HF29" s="105"/>
      <c r="HG29" s="105"/>
      <c r="HH29" s="105"/>
      <c r="HI29" s="105"/>
      <c r="HJ29" s="105"/>
      <c r="HK29" s="105"/>
      <c r="HL29" s="105"/>
      <c r="HM29" s="105"/>
      <c r="HN29" s="105"/>
      <c r="HO29" s="105"/>
      <c r="HP29" s="105"/>
      <c r="HQ29" s="105"/>
      <c r="HR29" s="105"/>
      <c r="HS29" s="105"/>
      <c r="HT29" s="105"/>
      <c r="HU29" s="105"/>
      <c r="HV29" s="105"/>
      <c r="HW29" s="105"/>
    </row>
    <row r="30" spans="1:231" ht="14.5" x14ac:dyDescent="0.35">
      <c r="A30" s="158">
        <v>26</v>
      </c>
      <c r="B30" s="165">
        <v>24</v>
      </c>
      <c r="C30" s="138">
        <f>'[1]Initial Project Cost'!B30</f>
        <v>2048</v>
      </c>
      <c r="D30" s="174"/>
      <c r="E30" s="183"/>
      <c r="F30" s="180"/>
      <c r="G30" s="181"/>
      <c r="H30" s="181">
        <f t="shared" si="0"/>
        <v>0</v>
      </c>
      <c r="I30" s="182">
        <f t="shared" si="1"/>
        <v>0</v>
      </c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/>
      <c r="FY30" s="105"/>
      <c r="FZ30" s="105"/>
      <c r="GA30" s="105"/>
      <c r="GB30" s="105"/>
      <c r="GC30" s="105"/>
      <c r="GD30" s="105"/>
      <c r="GE30" s="105"/>
      <c r="GF30" s="105"/>
      <c r="GG30" s="105"/>
      <c r="GH30" s="105"/>
      <c r="GI30" s="105"/>
      <c r="GJ30" s="105"/>
      <c r="GK30" s="105"/>
      <c r="GL30" s="105"/>
      <c r="GM30" s="105"/>
      <c r="GN30" s="105"/>
      <c r="GO30" s="105"/>
      <c r="GP30" s="105"/>
      <c r="GQ30" s="105"/>
      <c r="GR30" s="105"/>
      <c r="GS30" s="105"/>
      <c r="GT30" s="105"/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/>
      <c r="HI30" s="105"/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5"/>
      <c r="HU30" s="105"/>
      <c r="HV30" s="105"/>
      <c r="HW30" s="105"/>
    </row>
    <row r="31" spans="1:231" ht="14.5" x14ac:dyDescent="0.35">
      <c r="A31" s="158">
        <v>27</v>
      </c>
      <c r="B31" s="165">
        <v>25</v>
      </c>
      <c r="C31" s="138">
        <f>'[1]Initial Project Cost'!B31</f>
        <v>2049</v>
      </c>
      <c r="D31" s="175" t="s">
        <v>209</v>
      </c>
      <c r="E31" s="183">
        <v>52</v>
      </c>
      <c r="F31" s="180">
        <f>E31/52*'VMT, VHT, and User Costs'!P44</f>
        <v>85600715.668710604</v>
      </c>
      <c r="G31" s="181"/>
      <c r="H31" s="181">
        <f t="shared" si="0"/>
        <v>85600715.668710604</v>
      </c>
      <c r="I31" s="182">
        <f t="shared" si="1"/>
        <v>15771861.457275014</v>
      </c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5"/>
      <c r="HU31" s="105"/>
      <c r="HV31" s="105"/>
      <c r="HW31" s="105"/>
    </row>
    <row r="32" spans="1:231" ht="14.5" x14ac:dyDescent="0.35">
      <c r="A32" s="158">
        <v>28</v>
      </c>
      <c r="B32" s="165">
        <v>26</v>
      </c>
      <c r="C32" s="138">
        <f>'[1]Initial Project Cost'!B32</f>
        <v>2050</v>
      </c>
      <c r="D32" s="174"/>
      <c r="E32" s="183">
        <v>52</v>
      </c>
      <c r="F32" s="180">
        <f>E32/52*'VMT, VHT, and User Costs'!P45</f>
        <v>85962009.011900797</v>
      </c>
      <c r="G32" s="181"/>
      <c r="H32" s="181">
        <f t="shared" si="0"/>
        <v>85962009.011900797</v>
      </c>
      <c r="I32" s="182">
        <f t="shared" si="1"/>
        <v>14802270.522058008</v>
      </c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105"/>
      <c r="GH32" s="105"/>
      <c r="GI32" s="105"/>
      <c r="GJ32" s="105"/>
      <c r="GK32" s="105"/>
      <c r="GL32" s="105"/>
      <c r="GM32" s="105"/>
      <c r="GN32" s="105"/>
      <c r="GO32" s="105"/>
      <c r="GP32" s="105"/>
      <c r="GQ32" s="105"/>
      <c r="GR32" s="105"/>
      <c r="GS32" s="105"/>
      <c r="GT32" s="105"/>
      <c r="GU32" s="105"/>
      <c r="GV32" s="105"/>
      <c r="GW32" s="105"/>
      <c r="GX32" s="105"/>
      <c r="GY32" s="105"/>
      <c r="GZ32" s="105"/>
      <c r="HA32" s="105"/>
      <c r="HB32" s="105"/>
      <c r="HC32" s="105"/>
      <c r="HD32" s="105"/>
      <c r="HE32" s="105"/>
      <c r="HF32" s="105"/>
      <c r="HG32" s="105"/>
      <c r="HH32" s="105"/>
      <c r="HI32" s="105"/>
      <c r="HJ32" s="105"/>
      <c r="HK32" s="105"/>
      <c r="HL32" s="105"/>
      <c r="HM32" s="105"/>
      <c r="HN32" s="105"/>
      <c r="HO32" s="105"/>
      <c r="HP32" s="105"/>
      <c r="HQ32" s="105"/>
      <c r="HR32" s="105"/>
      <c r="HS32" s="105"/>
      <c r="HT32" s="105"/>
      <c r="HU32" s="105"/>
      <c r="HV32" s="105"/>
      <c r="HW32" s="105"/>
    </row>
    <row r="33" spans="1:231" ht="14.5" x14ac:dyDescent="0.35">
      <c r="A33" s="158">
        <v>29</v>
      </c>
      <c r="B33" s="165">
        <v>27</v>
      </c>
      <c r="C33" s="138">
        <f>'[1]Initial Project Cost'!B33</f>
        <v>2051</v>
      </c>
      <c r="D33" s="174"/>
      <c r="E33" s="183">
        <v>52</v>
      </c>
      <c r="F33" s="180">
        <f>E33/52*'VMT, VHT, and User Costs'!P46</f>
        <v>86323302.355091035</v>
      </c>
      <c r="G33" s="180"/>
      <c r="H33" s="181">
        <f t="shared" si="0"/>
        <v>86323302.355091035</v>
      </c>
      <c r="I33" s="182">
        <f t="shared" si="1"/>
        <v>13892040.754589159</v>
      </c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5"/>
      <c r="DN33" s="105"/>
      <c r="DO33" s="105"/>
      <c r="DP33" s="105"/>
      <c r="DQ33" s="105"/>
      <c r="DR33" s="105"/>
      <c r="DS33" s="105"/>
      <c r="DT33" s="105"/>
      <c r="DU33" s="105"/>
      <c r="DV33" s="105"/>
      <c r="DW33" s="105"/>
      <c r="DX33" s="105"/>
      <c r="DY33" s="105"/>
      <c r="DZ33" s="105"/>
      <c r="EA33" s="105"/>
      <c r="EB33" s="105"/>
      <c r="EC33" s="105"/>
      <c r="ED33" s="105"/>
      <c r="EE33" s="105"/>
      <c r="EF33" s="105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05"/>
      <c r="FA33" s="105"/>
      <c r="FB33" s="105"/>
      <c r="FC33" s="105"/>
      <c r="FD33" s="105"/>
      <c r="FE33" s="105"/>
      <c r="FF33" s="105"/>
      <c r="FG33" s="105"/>
      <c r="FH33" s="105"/>
      <c r="FI33" s="105"/>
      <c r="FJ33" s="105"/>
      <c r="FK33" s="105"/>
      <c r="FL33" s="105"/>
      <c r="FM33" s="105"/>
      <c r="FN33" s="105"/>
      <c r="FO33" s="105"/>
      <c r="FP33" s="105"/>
      <c r="FQ33" s="105"/>
      <c r="FR33" s="105"/>
      <c r="FS33" s="105"/>
      <c r="FT33" s="105"/>
      <c r="FU33" s="105"/>
      <c r="FV33" s="105"/>
      <c r="FW33" s="105"/>
      <c r="FX33" s="105"/>
      <c r="FY33" s="105"/>
      <c r="FZ33" s="105"/>
      <c r="GA33" s="105"/>
      <c r="GB33" s="105"/>
      <c r="GC33" s="105"/>
      <c r="GD33" s="105"/>
      <c r="GE33" s="105"/>
      <c r="GF33" s="105"/>
      <c r="GG33" s="105"/>
      <c r="GH33" s="105"/>
      <c r="GI33" s="105"/>
      <c r="GJ33" s="105"/>
      <c r="GK33" s="105"/>
      <c r="GL33" s="105"/>
      <c r="GM33" s="105"/>
      <c r="GN33" s="105"/>
      <c r="GO33" s="105"/>
      <c r="GP33" s="105"/>
      <c r="GQ33" s="105"/>
      <c r="GR33" s="105"/>
      <c r="GS33" s="105"/>
      <c r="GT33" s="105"/>
      <c r="GU33" s="105"/>
      <c r="GV33" s="105"/>
      <c r="GW33" s="105"/>
      <c r="GX33" s="105"/>
      <c r="GY33" s="105"/>
      <c r="GZ33" s="105"/>
      <c r="HA33" s="105"/>
      <c r="HB33" s="105"/>
      <c r="HC33" s="105"/>
      <c r="HD33" s="105"/>
      <c r="HE33" s="105"/>
      <c r="HF33" s="105"/>
      <c r="HG33" s="105"/>
      <c r="HH33" s="105"/>
      <c r="HI33" s="105"/>
      <c r="HJ33" s="105"/>
      <c r="HK33" s="105"/>
      <c r="HL33" s="105"/>
      <c r="HM33" s="105"/>
      <c r="HN33" s="105"/>
      <c r="HO33" s="105"/>
      <c r="HP33" s="105"/>
      <c r="HQ33" s="105"/>
      <c r="HR33" s="105"/>
      <c r="HS33" s="105"/>
      <c r="HT33" s="105"/>
      <c r="HU33" s="105"/>
      <c r="HV33" s="105"/>
      <c r="HW33" s="105"/>
    </row>
    <row r="34" spans="1:231" ht="14.5" x14ac:dyDescent="0.35">
      <c r="A34" s="158">
        <v>30</v>
      </c>
      <c r="B34" s="165">
        <v>28</v>
      </c>
      <c r="C34" s="138">
        <f>'[1]Initial Project Cost'!B34</f>
        <v>2052</v>
      </c>
      <c r="D34" s="174"/>
      <c r="E34" s="183">
        <v>52</v>
      </c>
      <c r="F34" s="180">
        <f>E34/52*'VMT, VHT, and User Costs'!P47</f>
        <v>86710402.36565198</v>
      </c>
      <c r="G34" s="180"/>
      <c r="H34" s="181">
        <f t="shared" si="0"/>
        <v>86710402.36565198</v>
      </c>
      <c r="I34" s="182">
        <f t="shared" si="1"/>
        <v>13041436.356514698</v>
      </c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05"/>
      <c r="FA34" s="105"/>
      <c r="FB34" s="105"/>
      <c r="FC34" s="105"/>
      <c r="FD34" s="105"/>
      <c r="FE34" s="105"/>
      <c r="FF34" s="105"/>
      <c r="FG34" s="105"/>
      <c r="FH34" s="105"/>
      <c r="FI34" s="105"/>
      <c r="FJ34" s="105"/>
      <c r="FK34" s="105"/>
      <c r="FL34" s="105"/>
      <c r="FM34" s="105"/>
      <c r="FN34" s="105"/>
      <c r="FO34" s="105"/>
      <c r="FP34" s="105"/>
      <c r="FQ34" s="105"/>
      <c r="FR34" s="105"/>
      <c r="FS34" s="105"/>
      <c r="FT34" s="105"/>
      <c r="FU34" s="105"/>
      <c r="FV34" s="105"/>
      <c r="FW34" s="105"/>
      <c r="FX34" s="105"/>
      <c r="FY34" s="105"/>
      <c r="FZ34" s="105"/>
      <c r="GA34" s="105"/>
      <c r="GB34" s="105"/>
      <c r="GC34" s="105"/>
      <c r="GD34" s="105"/>
      <c r="GE34" s="105"/>
      <c r="GF34" s="105"/>
      <c r="GG34" s="105"/>
      <c r="GH34" s="105"/>
      <c r="GI34" s="105"/>
      <c r="GJ34" s="105"/>
      <c r="GK34" s="105"/>
      <c r="GL34" s="105"/>
      <c r="GM34" s="105"/>
      <c r="GN34" s="105"/>
      <c r="GO34" s="105"/>
      <c r="GP34" s="105"/>
      <c r="GQ34" s="105"/>
      <c r="GR34" s="105"/>
      <c r="GS34" s="105"/>
      <c r="GT34" s="105"/>
      <c r="GU34" s="105"/>
      <c r="GV34" s="105"/>
      <c r="GW34" s="105"/>
      <c r="GX34" s="105"/>
      <c r="GY34" s="105"/>
      <c r="GZ34" s="105"/>
      <c r="HA34" s="105"/>
      <c r="HB34" s="105"/>
      <c r="HC34" s="105"/>
      <c r="HD34" s="105"/>
      <c r="HE34" s="105"/>
      <c r="HF34" s="105"/>
      <c r="HG34" s="105"/>
      <c r="HH34" s="105"/>
      <c r="HI34" s="105"/>
      <c r="HJ34" s="105"/>
      <c r="HK34" s="105"/>
      <c r="HL34" s="105"/>
      <c r="HM34" s="105"/>
      <c r="HN34" s="105"/>
      <c r="HO34" s="105"/>
      <c r="HP34" s="105"/>
      <c r="HQ34" s="105"/>
      <c r="HR34" s="105"/>
      <c r="HS34" s="105"/>
      <c r="HT34" s="105"/>
      <c r="HU34" s="105"/>
      <c r="HV34" s="105"/>
      <c r="HW34" s="105"/>
    </row>
    <row r="35" spans="1:231" ht="14.5" x14ac:dyDescent="0.35">
      <c r="A35" s="158">
        <v>31</v>
      </c>
      <c r="B35" s="165">
        <v>29</v>
      </c>
      <c r="C35" s="167">
        <f>'[1]Initial Project Cost'!B35</f>
        <v>2053</v>
      </c>
      <c r="D35" s="174"/>
      <c r="E35" s="183">
        <v>52</v>
      </c>
      <c r="F35" s="180">
        <f>E35/52*'VMT, VHT, and User Costs'!P48</f>
        <v>87071695.708842188</v>
      </c>
      <c r="G35" s="180"/>
      <c r="H35" s="181">
        <f t="shared" si="0"/>
        <v>87071695.708842188</v>
      </c>
      <c r="I35" s="182">
        <f t="shared" si="1"/>
        <v>12239042.686604524</v>
      </c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105"/>
      <c r="DQ35" s="105"/>
      <c r="DR35" s="105"/>
      <c r="DS35" s="105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5"/>
      <c r="ET35" s="105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105"/>
      <c r="FG35" s="105"/>
      <c r="FH35" s="105"/>
      <c r="FI35" s="105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105"/>
      <c r="FU35" s="105"/>
      <c r="FV35" s="105"/>
      <c r="FW35" s="105"/>
      <c r="FX35" s="105"/>
      <c r="FY35" s="105"/>
      <c r="FZ35" s="105"/>
      <c r="GA35" s="105"/>
      <c r="GB35" s="105"/>
      <c r="GC35" s="105"/>
      <c r="GD35" s="105"/>
      <c r="GE35" s="105"/>
      <c r="GF35" s="105"/>
      <c r="GG35" s="105"/>
      <c r="GH35" s="105"/>
      <c r="GI35" s="105"/>
      <c r="GJ35" s="105"/>
      <c r="GK35" s="105"/>
      <c r="GL35" s="105"/>
      <c r="GM35" s="105"/>
      <c r="GN35" s="105"/>
      <c r="GO35" s="105"/>
      <c r="GP35" s="105"/>
      <c r="GQ35" s="105"/>
      <c r="GR35" s="105"/>
      <c r="GS35" s="105"/>
      <c r="GT35" s="105"/>
      <c r="GU35" s="105"/>
      <c r="GV35" s="105"/>
      <c r="GW35" s="105"/>
      <c r="GX35" s="105"/>
      <c r="GY35" s="105"/>
      <c r="GZ35" s="105"/>
      <c r="HA35" s="105"/>
      <c r="HB35" s="105"/>
      <c r="HC35" s="105"/>
      <c r="HD35" s="105"/>
      <c r="HE35" s="105"/>
      <c r="HF35" s="105"/>
      <c r="HG35" s="105"/>
      <c r="HH35" s="105"/>
      <c r="HI35" s="105"/>
      <c r="HJ35" s="105"/>
      <c r="HK35" s="105"/>
      <c r="HL35" s="105"/>
      <c r="HM35" s="105"/>
      <c r="HN35" s="105"/>
      <c r="HO35" s="105"/>
      <c r="HP35" s="105"/>
      <c r="HQ35" s="105"/>
      <c r="HR35" s="105"/>
      <c r="HS35" s="105"/>
      <c r="HT35" s="105"/>
      <c r="HU35" s="105"/>
      <c r="HV35" s="105"/>
      <c r="HW35" s="105"/>
    </row>
    <row r="36" spans="1:231" ht="14.5" x14ac:dyDescent="0.35">
      <c r="A36" s="168">
        <v>32</v>
      </c>
      <c r="B36" s="169">
        <v>30</v>
      </c>
      <c r="C36" s="170">
        <f>'[1]Initial Project Cost'!B36</f>
        <v>2054</v>
      </c>
      <c r="D36" s="176"/>
      <c r="E36" s="183">
        <v>52</v>
      </c>
      <c r="F36" s="180">
        <f>E36/52*'VMT, VHT, and User Costs'!P49</f>
        <v>87432989.052032396</v>
      </c>
      <c r="G36" s="180"/>
      <c r="H36" s="181">
        <f t="shared" si="0"/>
        <v>87432989.052032396</v>
      </c>
      <c r="I36" s="182">
        <f t="shared" si="1"/>
        <v>11485819.715974309</v>
      </c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105"/>
      <c r="DQ36" s="105"/>
      <c r="DR36" s="105"/>
      <c r="DS36" s="105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105"/>
      <c r="FA36" s="105"/>
      <c r="FB36" s="105"/>
      <c r="FC36" s="105"/>
      <c r="FD36" s="105"/>
      <c r="FE36" s="105"/>
      <c r="FF36" s="105"/>
      <c r="FG36" s="105"/>
      <c r="FH36" s="105"/>
      <c r="FI36" s="105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105"/>
      <c r="FU36" s="105"/>
      <c r="FV36" s="105"/>
      <c r="FW36" s="105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105"/>
      <c r="GI36" s="105"/>
      <c r="GJ36" s="105"/>
      <c r="GK36" s="105"/>
      <c r="GL36" s="105"/>
      <c r="GM36" s="105"/>
      <c r="GN36" s="105"/>
      <c r="GO36" s="105"/>
      <c r="GP36" s="105"/>
      <c r="GQ36" s="105"/>
      <c r="GR36" s="105"/>
      <c r="GS36" s="105"/>
      <c r="GT36" s="105"/>
      <c r="GU36" s="105"/>
      <c r="GV36" s="105"/>
      <c r="GW36" s="105"/>
      <c r="GX36" s="105"/>
      <c r="GY36" s="105"/>
      <c r="GZ36" s="105"/>
      <c r="HA36" s="105"/>
      <c r="HB36" s="105"/>
      <c r="HC36" s="105"/>
      <c r="HD36" s="105"/>
      <c r="HE36" s="105"/>
      <c r="HF36" s="105"/>
      <c r="HG36" s="105"/>
      <c r="HH36" s="105"/>
      <c r="HI36" s="105"/>
      <c r="HJ36" s="105"/>
      <c r="HK36" s="105"/>
      <c r="HL36" s="105"/>
      <c r="HM36" s="105"/>
      <c r="HN36" s="105"/>
      <c r="HO36" s="105"/>
      <c r="HP36" s="105"/>
      <c r="HQ36" s="105"/>
      <c r="HR36" s="105"/>
      <c r="HS36" s="105"/>
      <c r="HT36" s="105"/>
      <c r="HU36" s="105"/>
      <c r="HV36" s="105"/>
      <c r="HW36" s="105"/>
    </row>
    <row r="37" spans="1:231" x14ac:dyDescent="0.25">
      <c r="H37" s="231">
        <f>SUM(H4:H36)</f>
        <v>683463867.04085541</v>
      </c>
      <c r="I37" s="192">
        <f>SUM(I4:I36)</f>
        <v>157858717.11904514</v>
      </c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L25"/>
  <sheetViews>
    <sheetView zoomScaleNormal="100" workbookViewId="0"/>
  </sheetViews>
  <sheetFormatPr defaultColWidth="9.08984375" defaultRowHeight="12.5" x14ac:dyDescent="0.25"/>
  <cols>
    <col min="1" max="1" width="10.6328125" customWidth="1"/>
    <col min="6" max="6" width="13.1796875" customWidth="1"/>
    <col min="7" max="7" width="11.6328125" bestFit="1" customWidth="1"/>
  </cols>
  <sheetData>
    <row r="1" spans="1:12" x14ac:dyDescent="0.25">
      <c r="A1" s="8" t="s">
        <v>58</v>
      </c>
      <c r="L1" t="s">
        <v>37</v>
      </c>
    </row>
    <row r="3" spans="1:12" ht="14.5" x14ac:dyDescent="0.35">
      <c r="A3" t="s">
        <v>54</v>
      </c>
      <c r="C3" t="s">
        <v>178</v>
      </c>
      <c r="G3">
        <f>VMT!M11</f>
        <v>73066.521363880005</v>
      </c>
      <c r="L3" s="5" t="s">
        <v>177</v>
      </c>
    </row>
    <row r="4" spans="1:12" x14ac:dyDescent="0.25">
      <c r="C4" s="8" t="s">
        <v>57</v>
      </c>
      <c r="G4" s="6" t="s">
        <v>38</v>
      </c>
      <c r="H4" s="6" t="s">
        <v>39</v>
      </c>
      <c r="I4" s="6" t="s">
        <v>40</v>
      </c>
      <c r="J4" s="6" t="s">
        <v>41</v>
      </c>
      <c r="K4" s="6" t="s">
        <v>42</v>
      </c>
    </row>
    <row r="5" spans="1:12" ht="14.5" x14ac:dyDescent="0.35">
      <c r="C5" t="s">
        <v>179</v>
      </c>
      <c r="G5" s="17">
        <f>Crashes!X6</f>
        <v>737</v>
      </c>
      <c r="H5" s="17">
        <f>Crashes!X3</f>
        <v>2939</v>
      </c>
      <c r="I5" s="17">
        <f>Crashes!X4</f>
        <v>11377</v>
      </c>
      <c r="J5" s="17">
        <f>Crashes!X5</f>
        <v>24609</v>
      </c>
      <c r="K5" s="17">
        <f>Crashes!X7</f>
        <v>127268</v>
      </c>
      <c r="L5" s="5" t="s">
        <v>176</v>
      </c>
    </row>
    <row r="6" spans="1:12" ht="14.5" x14ac:dyDescent="0.35">
      <c r="C6" t="s">
        <v>43</v>
      </c>
      <c r="G6">
        <v>11600000</v>
      </c>
      <c r="H6">
        <v>554800</v>
      </c>
      <c r="I6">
        <v>151100</v>
      </c>
      <c r="J6">
        <v>77200</v>
      </c>
      <c r="K6">
        <v>3900</v>
      </c>
      <c r="L6" s="5" t="s">
        <v>120</v>
      </c>
    </row>
    <row r="7" spans="1:12" x14ac:dyDescent="0.25">
      <c r="C7" t="s">
        <v>44</v>
      </c>
      <c r="G7">
        <f>(G5*G6+H5*H6+I5*I6+J5*J6+K5*K6)/5</f>
        <v>2858996380</v>
      </c>
    </row>
    <row r="8" spans="1:12" ht="13" x14ac:dyDescent="0.3">
      <c r="C8" t="s">
        <v>45</v>
      </c>
      <c r="G8" s="7">
        <f>ROUND(G7/(G3/5)/1000000,2)</f>
        <v>0.2</v>
      </c>
    </row>
    <row r="10" spans="1:12" ht="14.5" x14ac:dyDescent="0.35">
      <c r="A10" s="48" t="s">
        <v>55</v>
      </c>
      <c r="C10" t="s">
        <v>46</v>
      </c>
      <c r="G10" s="7">
        <v>0.45</v>
      </c>
      <c r="L10" s="5" t="s">
        <v>120</v>
      </c>
    </row>
    <row r="11" spans="1:12" ht="14.5" x14ac:dyDescent="0.35">
      <c r="C11" t="s">
        <v>47</v>
      </c>
      <c r="G11" s="7">
        <v>0.94</v>
      </c>
      <c r="L11" s="5" t="s">
        <v>120</v>
      </c>
    </row>
    <row r="12" spans="1:12" ht="14.5" x14ac:dyDescent="0.35">
      <c r="L12" s="5"/>
    </row>
    <row r="13" spans="1:12" ht="14.5" x14ac:dyDescent="0.35">
      <c r="A13" s="48" t="s">
        <v>56</v>
      </c>
      <c r="C13" t="s">
        <v>48</v>
      </c>
      <c r="G13" s="7">
        <v>17.8</v>
      </c>
      <c r="L13" s="5" t="s">
        <v>120</v>
      </c>
    </row>
    <row r="14" spans="1:12" ht="14.5" x14ac:dyDescent="0.35">
      <c r="C14" s="48" t="s">
        <v>50</v>
      </c>
      <c r="G14" s="7">
        <v>1.67</v>
      </c>
      <c r="L14" s="5" t="s">
        <v>120</v>
      </c>
    </row>
    <row r="15" spans="1:12" ht="13" x14ac:dyDescent="0.3">
      <c r="C15" s="48" t="s">
        <v>52</v>
      </c>
      <c r="G15" s="7">
        <f>ROUND(G13*G14,2)</f>
        <v>29.73</v>
      </c>
    </row>
    <row r="17" spans="1:12" ht="14.5" x14ac:dyDescent="0.35">
      <c r="C17" t="s">
        <v>49</v>
      </c>
      <c r="G17" s="7">
        <v>32</v>
      </c>
      <c r="L17" s="5" t="s">
        <v>120</v>
      </c>
    </row>
    <row r="18" spans="1:12" ht="14.5" x14ac:dyDescent="0.35">
      <c r="C18" t="s">
        <v>51</v>
      </c>
      <c r="G18" s="7">
        <v>1</v>
      </c>
      <c r="L18" s="5" t="s">
        <v>120</v>
      </c>
    </row>
    <row r="19" spans="1:12" ht="13" x14ac:dyDescent="0.3">
      <c r="C19" t="s">
        <v>53</v>
      </c>
      <c r="G19" s="7">
        <f>ROUND(G17*G18,2)</f>
        <v>32</v>
      </c>
    </row>
    <row r="21" spans="1:12" ht="14.5" x14ac:dyDescent="0.35">
      <c r="A21" s="48" t="s">
        <v>109</v>
      </c>
      <c r="C21" s="48" t="s">
        <v>110</v>
      </c>
      <c r="L21" s="5" t="s">
        <v>117</v>
      </c>
    </row>
    <row r="22" spans="1:12" ht="13" x14ac:dyDescent="0.3">
      <c r="A22" t="s">
        <v>65</v>
      </c>
      <c r="C22" s="49">
        <v>2100</v>
      </c>
    </row>
    <row r="23" spans="1:12" ht="13" x14ac:dyDescent="0.3">
      <c r="A23" t="s">
        <v>70</v>
      </c>
      <c r="C23" s="49">
        <v>8600</v>
      </c>
    </row>
    <row r="24" spans="1:12" ht="13" x14ac:dyDescent="0.3">
      <c r="A24" t="s">
        <v>66</v>
      </c>
      <c r="C24" s="49">
        <v>387300</v>
      </c>
    </row>
    <row r="25" spans="1:12" ht="13" x14ac:dyDescent="0.3">
      <c r="A25" t="s">
        <v>67</v>
      </c>
      <c r="C25" s="49">
        <v>50100</v>
      </c>
    </row>
  </sheetData>
  <phoneticPr fontId="0" type="noConversion"/>
  <pageMargins left="0.75" right="0.75" top="1" bottom="1" header="0.5" footer="0.5"/>
  <pageSetup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EA30-4DF4-4C35-A1BF-98BF62ABEE0A}">
  <sheetPr>
    <tabColor theme="3" tint="0.59999389629810485"/>
  </sheetPr>
  <dimension ref="A1:X8"/>
  <sheetViews>
    <sheetView showGridLines="0" workbookViewId="0"/>
  </sheetViews>
  <sheetFormatPr defaultColWidth="9.08984375" defaultRowHeight="14.5" x14ac:dyDescent="0.35"/>
  <cols>
    <col min="1" max="1" width="4.81640625" style="73" bestFit="1" customWidth="1"/>
    <col min="2" max="21" width="6.453125" style="73" bestFit="1" customWidth="1"/>
    <col min="22" max="22" width="1.81640625" style="73" bestFit="1" customWidth="1"/>
    <col min="23" max="16384" width="9.08984375" style="73"/>
  </cols>
  <sheetData>
    <row r="1" spans="1:24" x14ac:dyDescent="0.35">
      <c r="A1" s="72"/>
      <c r="B1" s="238" t="s">
        <v>162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40"/>
    </row>
    <row r="2" spans="1:24" ht="21" x14ac:dyDescent="0.35">
      <c r="A2" s="74" t="s">
        <v>163</v>
      </c>
      <c r="B2" s="75">
        <v>2003</v>
      </c>
      <c r="C2" s="75">
        <v>2004</v>
      </c>
      <c r="D2" s="75">
        <v>2005</v>
      </c>
      <c r="E2" s="75">
        <v>2006</v>
      </c>
      <c r="F2" s="75">
        <v>2007</v>
      </c>
      <c r="G2" s="75">
        <v>2008</v>
      </c>
      <c r="H2" s="75">
        <v>2009</v>
      </c>
      <c r="I2" s="75">
        <v>2010</v>
      </c>
      <c r="J2" s="75">
        <v>2011</v>
      </c>
      <c r="K2" s="75">
        <v>2012</v>
      </c>
      <c r="L2" s="75">
        <v>2013</v>
      </c>
      <c r="M2" s="75">
        <v>2014</v>
      </c>
      <c r="N2" s="75">
        <v>2015</v>
      </c>
      <c r="O2" s="75">
        <v>2016</v>
      </c>
      <c r="P2" s="75">
        <v>2017</v>
      </c>
      <c r="Q2" s="75">
        <v>2018</v>
      </c>
      <c r="R2" s="75">
        <v>2019</v>
      </c>
      <c r="S2" s="75">
        <v>2020</v>
      </c>
      <c r="T2" s="75">
        <v>2021</v>
      </c>
      <c r="U2" s="75">
        <v>2022</v>
      </c>
      <c r="V2" s="76"/>
      <c r="X2" s="73" t="s">
        <v>175</v>
      </c>
    </row>
    <row r="3" spans="1:24" x14ac:dyDescent="0.35">
      <c r="A3" s="77" t="s">
        <v>39</v>
      </c>
      <c r="B3" s="102">
        <v>917</v>
      </c>
      <c r="C3" s="102">
        <v>916</v>
      </c>
      <c r="D3" s="102">
        <v>869</v>
      </c>
      <c r="E3" s="102">
        <v>846</v>
      </c>
      <c r="F3" s="102">
        <v>793</v>
      </c>
      <c r="G3" s="102">
        <v>728</v>
      </c>
      <c r="H3" s="102">
        <v>603</v>
      </c>
      <c r="I3" s="102">
        <v>643</v>
      </c>
      <c r="J3" s="102">
        <v>748</v>
      </c>
      <c r="K3" s="102">
        <v>832</v>
      </c>
      <c r="L3" s="102">
        <v>725</v>
      </c>
      <c r="M3" s="102">
        <v>694</v>
      </c>
      <c r="N3" s="102">
        <v>642</v>
      </c>
      <c r="O3" s="102">
        <v>634</v>
      </c>
      <c r="P3" s="102">
        <v>626</v>
      </c>
      <c r="Q3" s="102">
        <v>597</v>
      </c>
      <c r="R3" s="102">
        <v>587</v>
      </c>
      <c r="S3" s="102">
        <v>517</v>
      </c>
      <c r="T3" s="102">
        <v>612</v>
      </c>
      <c r="U3" s="102">
        <v>302</v>
      </c>
      <c r="V3" s="79"/>
      <c r="X3" s="87">
        <f>SUM(P3:T3)</f>
        <v>2939</v>
      </c>
    </row>
    <row r="4" spans="1:24" x14ac:dyDescent="0.35">
      <c r="A4" s="77" t="s">
        <v>40</v>
      </c>
      <c r="B4" s="102">
        <v>3951</v>
      </c>
      <c r="C4" s="102">
        <v>4000</v>
      </c>
      <c r="D4" s="102">
        <v>3703</v>
      </c>
      <c r="E4" s="102">
        <v>3563</v>
      </c>
      <c r="F4" s="102">
        <v>3330</v>
      </c>
      <c r="G4" s="102">
        <v>2971</v>
      </c>
      <c r="H4" s="102">
        <v>2732</v>
      </c>
      <c r="I4" s="102">
        <v>2721</v>
      </c>
      <c r="J4" s="102">
        <v>2757</v>
      </c>
      <c r="K4" s="102">
        <v>2551</v>
      </c>
      <c r="L4" s="102">
        <v>2275</v>
      </c>
      <c r="M4" s="102">
        <v>2182</v>
      </c>
      <c r="N4" s="102">
        <v>2227</v>
      </c>
      <c r="O4" s="102">
        <v>2200</v>
      </c>
      <c r="P4" s="102">
        <v>2068</v>
      </c>
      <c r="Q4" s="102">
        <v>1976</v>
      </c>
      <c r="R4" s="102">
        <v>2360</v>
      </c>
      <c r="S4" s="102">
        <v>2237</v>
      </c>
      <c r="T4" s="102">
        <v>2736</v>
      </c>
      <c r="U4" s="102">
        <v>1474</v>
      </c>
      <c r="V4" s="79"/>
      <c r="X4" s="87">
        <f t="shared" ref="X4:X8" si="0">SUM(P4:T4)</f>
        <v>11377</v>
      </c>
    </row>
    <row r="5" spans="1:24" x14ac:dyDescent="0.35">
      <c r="A5" s="77" t="s">
        <v>41</v>
      </c>
      <c r="B5" s="102">
        <v>5919</v>
      </c>
      <c r="C5" s="102">
        <v>5769</v>
      </c>
      <c r="D5" s="102">
        <v>5719</v>
      </c>
      <c r="E5" s="102">
        <v>5191</v>
      </c>
      <c r="F5" s="102">
        <v>5293</v>
      </c>
      <c r="G5" s="102">
        <v>4889</v>
      </c>
      <c r="H5" s="102">
        <v>4713</v>
      </c>
      <c r="I5" s="102">
        <v>4479</v>
      </c>
      <c r="J5" s="102">
        <v>4769</v>
      </c>
      <c r="K5" s="102">
        <v>5006</v>
      </c>
      <c r="L5" s="102">
        <v>5022</v>
      </c>
      <c r="M5" s="102">
        <v>5088</v>
      </c>
      <c r="N5" s="102">
        <v>5392</v>
      </c>
      <c r="O5" s="102">
        <v>5664</v>
      </c>
      <c r="P5" s="102">
        <v>5627</v>
      </c>
      <c r="Q5" s="102">
        <v>5429</v>
      </c>
      <c r="R5" s="102">
        <v>5213</v>
      </c>
      <c r="S5" s="102">
        <v>3956</v>
      </c>
      <c r="T5" s="102">
        <v>4384</v>
      </c>
      <c r="U5" s="102">
        <v>2092</v>
      </c>
      <c r="V5" s="79"/>
      <c r="X5" s="87">
        <f t="shared" si="0"/>
        <v>24609</v>
      </c>
    </row>
    <row r="6" spans="1:24" x14ac:dyDescent="0.35">
      <c r="A6" s="77" t="s">
        <v>38</v>
      </c>
      <c r="B6" s="102">
        <v>180</v>
      </c>
      <c r="C6" s="102">
        <v>178</v>
      </c>
      <c r="D6" s="102">
        <v>151</v>
      </c>
      <c r="E6" s="102">
        <v>166</v>
      </c>
      <c r="F6" s="102">
        <v>174</v>
      </c>
      <c r="G6" s="102">
        <v>141</v>
      </c>
      <c r="H6" s="102">
        <v>147</v>
      </c>
      <c r="I6" s="102">
        <v>141</v>
      </c>
      <c r="J6" s="102">
        <v>125</v>
      </c>
      <c r="K6" s="102">
        <v>152</v>
      </c>
      <c r="L6" s="102">
        <v>135</v>
      </c>
      <c r="M6" s="102">
        <v>113</v>
      </c>
      <c r="N6" s="102">
        <v>141</v>
      </c>
      <c r="O6" s="102">
        <v>148</v>
      </c>
      <c r="P6" s="102">
        <v>159</v>
      </c>
      <c r="Q6" s="102">
        <v>131</v>
      </c>
      <c r="R6" s="102">
        <v>152</v>
      </c>
      <c r="S6" s="102">
        <v>158</v>
      </c>
      <c r="T6" s="102">
        <v>137</v>
      </c>
      <c r="U6" s="102">
        <v>87</v>
      </c>
      <c r="V6" s="79"/>
      <c r="X6" s="87">
        <f t="shared" si="0"/>
        <v>737</v>
      </c>
    </row>
    <row r="7" spans="1:24" x14ac:dyDescent="0.35">
      <c r="A7" s="77" t="s">
        <v>164</v>
      </c>
      <c r="B7" s="102">
        <v>24228</v>
      </c>
      <c r="C7" s="102">
        <v>24134</v>
      </c>
      <c r="D7" s="102">
        <v>24590</v>
      </c>
      <c r="E7" s="102">
        <v>22285</v>
      </c>
      <c r="F7" s="102">
        <v>23768</v>
      </c>
      <c r="G7" s="102">
        <v>23036</v>
      </c>
      <c r="H7" s="102">
        <v>20773</v>
      </c>
      <c r="I7" s="102">
        <v>19899</v>
      </c>
      <c r="J7" s="102">
        <v>20260</v>
      </c>
      <c r="K7" s="102">
        <v>19979</v>
      </c>
      <c r="L7" s="102">
        <v>22346</v>
      </c>
      <c r="M7" s="102">
        <v>23784</v>
      </c>
      <c r="N7" s="102">
        <v>24488</v>
      </c>
      <c r="O7" s="102">
        <v>24697</v>
      </c>
      <c r="P7" s="102">
        <v>26530</v>
      </c>
      <c r="Q7" s="102">
        <v>27100</v>
      </c>
      <c r="R7" s="102">
        <v>26942</v>
      </c>
      <c r="S7" s="102">
        <v>21905</v>
      </c>
      <c r="T7" s="102">
        <v>24791</v>
      </c>
      <c r="U7" s="102">
        <v>13001</v>
      </c>
      <c r="V7" s="79"/>
      <c r="X7" s="87">
        <f t="shared" si="0"/>
        <v>127268</v>
      </c>
    </row>
    <row r="8" spans="1:24" x14ac:dyDescent="0.35">
      <c r="A8" s="80"/>
      <c r="B8" s="103">
        <f>SUM(B3:B7)</f>
        <v>35195</v>
      </c>
      <c r="C8" s="103">
        <f t="shared" ref="C8:U8" si="1">SUM(C3:C7)</f>
        <v>34997</v>
      </c>
      <c r="D8" s="103">
        <f t="shared" si="1"/>
        <v>35032</v>
      </c>
      <c r="E8" s="103">
        <f t="shared" si="1"/>
        <v>32051</v>
      </c>
      <c r="F8" s="103">
        <f t="shared" si="1"/>
        <v>33358</v>
      </c>
      <c r="G8" s="103">
        <f t="shared" si="1"/>
        <v>31765</v>
      </c>
      <c r="H8" s="103">
        <f t="shared" si="1"/>
        <v>28968</v>
      </c>
      <c r="I8" s="103">
        <f t="shared" si="1"/>
        <v>27883</v>
      </c>
      <c r="J8" s="103">
        <f t="shared" si="1"/>
        <v>28659</v>
      </c>
      <c r="K8" s="103">
        <f t="shared" si="1"/>
        <v>28520</v>
      </c>
      <c r="L8" s="103">
        <f t="shared" si="1"/>
        <v>30503</v>
      </c>
      <c r="M8" s="103">
        <f t="shared" si="1"/>
        <v>31861</v>
      </c>
      <c r="N8" s="103">
        <f t="shared" si="1"/>
        <v>32890</v>
      </c>
      <c r="O8" s="103">
        <f t="shared" si="1"/>
        <v>33343</v>
      </c>
      <c r="P8" s="103">
        <f t="shared" si="1"/>
        <v>35010</v>
      </c>
      <c r="Q8" s="103">
        <f t="shared" si="1"/>
        <v>35233</v>
      </c>
      <c r="R8" s="103">
        <f t="shared" si="1"/>
        <v>35254</v>
      </c>
      <c r="S8" s="103">
        <f t="shared" si="1"/>
        <v>28773</v>
      </c>
      <c r="T8" s="103">
        <f t="shared" si="1"/>
        <v>32660</v>
      </c>
      <c r="U8" s="103">
        <f t="shared" si="1"/>
        <v>16956</v>
      </c>
      <c r="V8" s="81">
        <v>0</v>
      </c>
      <c r="X8" s="87">
        <f t="shared" si="0"/>
        <v>166930</v>
      </c>
    </row>
  </sheetData>
  <mergeCells count="1">
    <mergeCell ref="B1:V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3362B-F562-41FB-958A-CABDCD9BCC10}">
  <sheetPr>
    <tabColor theme="3" tint="0.59999389629810485"/>
  </sheetPr>
  <dimension ref="A1:M11"/>
  <sheetViews>
    <sheetView showGridLines="0" workbookViewId="0"/>
  </sheetViews>
  <sheetFormatPr defaultColWidth="9.08984375" defaultRowHeight="14.5" x14ac:dyDescent="0.35"/>
  <cols>
    <col min="1" max="1" width="9.453125" style="73" customWidth="1"/>
    <col min="2" max="9" width="10.54296875" style="73" customWidth="1"/>
    <col min="10" max="10" width="11.54296875" style="73" customWidth="1"/>
    <col min="11" max="11" width="9.08984375" style="73"/>
    <col min="12" max="12" width="12" style="73" bestFit="1" customWidth="1"/>
    <col min="13" max="16384" width="9.08984375" style="73"/>
  </cols>
  <sheetData>
    <row r="1" spans="1:13" x14ac:dyDescent="0.35">
      <c r="A1" s="72"/>
      <c r="B1" s="75">
        <v>2015</v>
      </c>
      <c r="C1" s="75">
        <v>2016</v>
      </c>
      <c r="D1" s="75">
        <v>2017</v>
      </c>
      <c r="E1" s="75">
        <v>2018</v>
      </c>
      <c r="F1" s="75">
        <v>2019</v>
      </c>
      <c r="G1" s="75">
        <v>2020</v>
      </c>
      <c r="H1" s="75">
        <v>2021</v>
      </c>
      <c r="I1" s="75">
        <v>2022</v>
      </c>
      <c r="J1" s="241" t="s">
        <v>165</v>
      </c>
    </row>
    <row r="2" spans="1:13" ht="42" x14ac:dyDescent="0.35">
      <c r="A2" s="74" t="s">
        <v>166</v>
      </c>
      <c r="B2" s="82" t="s">
        <v>165</v>
      </c>
      <c r="C2" s="82" t="s">
        <v>165</v>
      </c>
      <c r="D2" s="82" t="s">
        <v>165</v>
      </c>
      <c r="E2" s="82" t="s">
        <v>165</v>
      </c>
      <c r="F2" s="82" t="s">
        <v>165</v>
      </c>
      <c r="G2" s="82" t="s">
        <v>165</v>
      </c>
      <c r="H2" s="82" t="s">
        <v>165</v>
      </c>
      <c r="I2" s="82" t="s">
        <v>165</v>
      </c>
      <c r="J2" s="242"/>
    </row>
    <row r="3" spans="1:13" x14ac:dyDescent="0.35">
      <c r="A3" s="77" t="s">
        <v>167</v>
      </c>
      <c r="B3" s="78">
        <v>3310593617.5</v>
      </c>
      <c r="C3" s="78">
        <v>3453464326.5</v>
      </c>
      <c r="D3" s="78">
        <v>3519364116.5500002</v>
      </c>
      <c r="E3" s="78">
        <v>3582536079.0999999</v>
      </c>
      <c r="F3" s="78">
        <v>3640111332.4000001</v>
      </c>
      <c r="G3" s="78">
        <v>2901916586</v>
      </c>
      <c r="H3" s="78">
        <v>3377829971.8499999</v>
      </c>
      <c r="I3" s="78">
        <v>3377829971.8499999</v>
      </c>
      <c r="J3" s="83">
        <v>27163646001.75</v>
      </c>
      <c r="L3" s="87">
        <f>SUM(D3:H3)</f>
        <v>17021758085.9</v>
      </c>
    </row>
    <row r="4" spans="1:13" x14ac:dyDescent="0.35">
      <c r="A4" s="77" t="s">
        <v>168</v>
      </c>
      <c r="B4" s="78">
        <v>1922843902.7550001</v>
      </c>
      <c r="C4" s="78">
        <v>1925035612.415</v>
      </c>
      <c r="D4" s="78">
        <v>1897526382.5699999</v>
      </c>
      <c r="E4" s="78">
        <v>1894695352.05</v>
      </c>
      <c r="F4" s="78">
        <v>1908402687.2449999</v>
      </c>
      <c r="G4" s="78">
        <v>1760306692.6300001</v>
      </c>
      <c r="H4" s="78">
        <v>1936331031.99</v>
      </c>
      <c r="I4" s="78">
        <v>1935921859.6900001</v>
      </c>
      <c r="J4" s="83">
        <v>15181063521.344999</v>
      </c>
      <c r="L4" s="87">
        <f t="shared" ref="L4:L11" si="0">SUM(D4:H4)</f>
        <v>9397262146.4850006</v>
      </c>
    </row>
    <row r="5" spans="1:13" ht="21" x14ac:dyDescent="0.35">
      <c r="A5" s="77" t="s">
        <v>169</v>
      </c>
      <c r="B5" s="78">
        <v>3224216868.645</v>
      </c>
      <c r="C5" s="78">
        <v>3217654936.9699998</v>
      </c>
      <c r="D5" s="78">
        <v>3205189275.5650001</v>
      </c>
      <c r="E5" s="78">
        <v>3211300714.02</v>
      </c>
      <c r="F5" s="78">
        <v>3215658659.625</v>
      </c>
      <c r="G5" s="78">
        <v>2965926160.77</v>
      </c>
      <c r="H5" s="78">
        <v>3144147196.0549998</v>
      </c>
      <c r="I5" s="78">
        <v>3147203333.7550001</v>
      </c>
      <c r="J5" s="83">
        <v>25331297145.404999</v>
      </c>
      <c r="L5" s="87">
        <f t="shared" si="0"/>
        <v>15742222006.035</v>
      </c>
    </row>
    <row r="6" spans="1:13" x14ac:dyDescent="0.35">
      <c r="A6" s="77" t="s">
        <v>170</v>
      </c>
      <c r="B6" s="78">
        <v>2759073791.105</v>
      </c>
      <c r="C6" s="78">
        <v>2753950964.2750001</v>
      </c>
      <c r="D6" s="78">
        <v>2713863945.3899999</v>
      </c>
      <c r="E6" s="78">
        <v>2712850780.9450002</v>
      </c>
      <c r="F6" s="78">
        <v>2715883198.7550001</v>
      </c>
      <c r="G6" s="78">
        <v>2392498395.625</v>
      </c>
      <c r="H6" s="78">
        <v>2721224238.2800002</v>
      </c>
      <c r="I6" s="78">
        <v>2721223048.3800001</v>
      </c>
      <c r="J6" s="83">
        <v>21490568362.755001</v>
      </c>
      <c r="L6" s="87">
        <f t="shared" si="0"/>
        <v>13256320558.995001</v>
      </c>
    </row>
    <row r="7" spans="1:13" ht="21" x14ac:dyDescent="0.35">
      <c r="A7" s="77" t="s">
        <v>171</v>
      </c>
      <c r="B7" s="78">
        <v>858072295</v>
      </c>
      <c r="C7" s="78">
        <v>903843105.92999995</v>
      </c>
      <c r="D7" s="78">
        <v>896816035.40999997</v>
      </c>
      <c r="E7" s="78">
        <v>892384939.78999996</v>
      </c>
      <c r="F7" s="78">
        <v>902576842.09000003</v>
      </c>
      <c r="G7" s="78">
        <v>831443693.35500002</v>
      </c>
      <c r="H7" s="78">
        <v>942501788.20000005</v>
      </c>
      <c r="I7" s="78">
        <v>939411847.85000002</v>
      </c>
      <c r="J7" s="83">
        <v>7167050547.625</v>
      </c>
      <c r="L7" s="87">
        <f t="shared" si="0"/>
        <v>4465723298.8450003</v>
      </c>
    </row>
    <row r="8" spans="1:13" ht="21" x14ac:dyDescent="0.35">
      <c r="A8" s="77" t="s">
        <v>172</v>
      </c>
      <c r="B8" s="78">
        <v>171226675.69999999</v>
      </c>
      <c r="C8" s="78">
        <v>171115390.84999999</v>
      </c>
      <c r="D8" s="78">
        <v>173748325.65000001</v>
      </c>
      <c r="E8" s="78">
        <v>174743166</v>
      </c>
      <c r="F8" s="78">
        <v>185977004.59999999</v>
      </c>
      <c r="G8" s="78">
        <v>159638538.90000001</v>
      </c>
      <c r="H8" s="78">
        <v>181789823.15000001</v>
      </c>
      <c r="I8" s="78">
        <v>181789823.15000001</v>
      </c>
      <c r="J8" s="83">
        <v>1400028748</v>
      </c>
      <c r="L8" s="87">
        <f t="shared" si="0"/>
        <v>875896858.29999995</v>
      </c>
    </row>
    <row r="9" spans="1:13" ht="21" x14ac:dyDescent="0.35">
      <c r="A9" s="77" t="s">
        <v>173</v>
      </c>
      <c r="B9" s="78">
        <v>2568829189.3499999</v>
      </c>
      <c r="C9" s="78">
        <v>2588949233.27</v>
      </c>
      <c r="D9" s="78">
        <v>2552038771.4250002</v>
      </c>
      <c r="E9" s="78">
        <v>2555374112.5900002</v>
      </c>
      <c r="F9" s="78">
        <v>2532077580.25</v>
      </c>
      <c r="G9" s="78">
        <v>2204902125.0999999</v>
      </c>
      <c r="H9" s="78">
        <v>2462945819.9549999</v>
      </c>
      <c r="I9" s="78">
        <v>2462945819.9549999</v>
      </c>
      <c r="J9" s="83">
        <v>19928062651.895</v>
      </c>
      <c r="L9" s="87">
        <f t="shared" si="0"/>
        <v>12307338409.32</v>
      </c>
    </row>
    <row r="10" spans="1:13" x14ac:dyDescent="0.35">
      <c r="A10" s="80"/>
      <c r="B10" s="78">
        <v>10161.6</v>
      </c>
      <c r="C10" s="78">
        <v>14614.6</v>
      </c>
      <c r="D10" s="78">
        <v>0</v>
      </c>
      <c r="E10" s="84"/>
      <c r="F10" s="84"/>
      <c r="G10" s="84"/>
      <c r="H10" s="84"/>
      <c r="I10" s="84"/>
      <c r="J10" s="83">
        <v>24776.2</v>
      </c>
      <c r="L10" s="87"/>
    </row>
    <row r="11" spans="1:13" x14ac:dyDescent="0.35">
      <c r="A11" s="85" t="s">
        <v>174</v>
      </c>
      <c r="B11" s="86">
        <v>14814866501.655001</v>
      </c>
      <c r="C11" s="86">
        <v>15014028184.809999</v>
      </c>
      <c r="D11" s="86">
        <v>14958546852.559999</v>
      </c>
      <c r="E11" s="86">
        <v>15023885144.495001</v>
      </c>
      <c r="F11" s="86">
        <v>15100687304.965</v>
      </c>
      <c r="G11" s="86">
        <v>13216632192.379999</v>
      </c>
      <c r="H11" s="86">
        <v>14766769869.48</v>
      </c>
      <c r="I11" s="86">
        <v>14766325704.629999</v>
      </c>
      <c r="J11" s="83">
        <v>117661741754.97501</v>
      </c>
      <c r="L11" s="87">
        <f t="shared" si="0"/>
        <v>73066521363.880005</v>
      </c>
      <c r="M11" s="73">
        <f>L11/1000000</f>
        <v>73066.521363880005</v>
      </c>
    </row>
  </sheetData>
  <mergeCells count="1">
    <mergeCell ref="J1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N62"/>
  <sheetViews>
    <sheetView zoomScaleNormal="100" workbookViewId="0"/>
  </sheetViews>
  <sheetFormatPr defaultColWidth="10.6328125" defaultRowHeight="12.5" x14ac:dyDescent="0.25"/>
  <cols>
    <col min="6" max="14" width="12.6328125" customWidth="1"/>
  </cols>
  <sheetData>
    <row r="1" spans="1:14" x14ac:dyDescent="0.25">
      <c r="A1" t="s">
        <v>0</v>
      </c>
      <c r="B1" t="str">
        <f>'VMT, VHT, and User Costs'!B1</f>
        <v>Augusta</v>
      </c>
      <c r="C1" t="str">
        <f>'VMT, VHT, and User Costs'!C1</f>
        <v>Bridge (#5808)</v>
      </c>
    </row>
    <row r="2" spans="1:14" x14ac:dyDescent="0.25">
      <c r="A2" t="s">
        <v>105</v>
      </c>
      <c r="B2">
        <f>'VMT, VHT, and User Costs'!B2</f>
        <v>0</v>
      </c>
      <c r="F2" s="8" t="s">
        <v>114</v>
      </c>
      <c r="J2" t="s">
        <v>106</v>
      </c>
    </row>
    <row r="3" spans="1:14" x14ac:dyDescent="0.25">
      <c r="A3" t="s">
        <v>3</v>
      </c>
      <c r="C3">
        <f>'VMT, VHT, and User Costs'!C3</f>
        <v>2017</v>
      </c>
      <c r="F3" t="s">
        <v>77</v>
      </c>
      <c r="J3" t="s">
        <v>68</v>
      </c>
    </row>
    <row r="4" spans="1:14" x14ac:dyDescent="0.25">
      <c r="A4" t="s">
        <v>1</v>
      </c>
      <c r="C4">
        <f>'VMT, VHT, and User Costs'!C4</f>
        <v>28593</v>
      </c>
      <c r="D4" t="str">
        <f>'VMT, VHT, and User Costs'!D4</f>
        <v>vehicles per day</v>
      </c>
      <c r="F4" t="s">
        <v>20</v>
      </c>
      <c r="J4" t="s">
        <v>65</v>
      </c>
      <c r="K4" t="s">
        <v>64</v>
      </c>
      <c r="L4" t="s">
        <v>66</v>
      </c>
      <c r="M4" t="s">
        <v>67</v>
      </c>
    </row>
    <row r="5" spans="1:14" x14ac:dyDescent="0.25">
      <c r="A5" t="s">
        <v>18</v>
      </c>
      <c r="C5" s="185">
        <f>'VMT, VHT, and User Costs'!C5</f>
        <v>2.5999999999999999E-2</v>
      </c>
      <c r="F5" t="s">
        <v>65</v>
      </c>
      <c r="G5" t="s">
        <v>70</v>
      </c>
      <c r="H5" t="s">
        <v>66</v>
      </c>
      <c r="I5" t="s">
        <v>67</v>
      </c>
      <c r="J5" s="9">
        <v>2100</v>
      </c>
      <c r="K5" s="9">
        <v>8600</v>
      </c>
      <c r="L5" s="9">
        <v>387300</v>
      </c>
      <c r="M5" s="9">
        <v>50100</v>
      </c>
    </row>
    <row r="6" spans="1:14" x14ac:dyDescent="0.25">
      <c r="A6" t="s">
        <v>75</v>
      </c>
      <c r="C6" s="17">
        <f>C4*C5</f>
        <v>743.41800000000001</v>
      </c>
      <c r="D6" t="s">
        <v>76</v>
      </c>
      <c r="F6" s="12">
        <v>3.6432281029351699E-2</v>
      </c>
      <c r="G6" s="12">
        <v>0.19581096457956468</v>
      </c>
      <c r="H6" s="12">
        <v>8.753858610025091E-3</v>
      </c>
      <c r="I6" s="12">
        <v>2.2429538425628756E-3</v>
      </c>
      <c r="J6" s="9"/>
      <c r="K6" s="9"/>
      <c r="L6" s="9"/>
      <c r="M6" s="9"/>
    </row>
    <row r="7" spans="1:14" x14ac:dyDescent="0.25">
      <c r="A7" t="s">
        <v>2</v>
      </c>
      <c r="C7">
        <f>'VMT, VHT, and User Costs'!C7</f>
        <v>1.1499999999999999</v>
      </c>
      <c r="F7" t="s">
        <v>19</v>
      </c>
    </row>
    <row r="8" spans="1:14" x14ac:dyDescent="0.25">
      <c r="A8" t="s">
        <v>13</v>
      </c>
      <c r="C8">
        <f>'VMT, VHT, and User Costs'!C8</f>
        <v>2024</v>
      </c>
      <c r="F8" t="s">
        <v>65</v>
      </c>
      <c r="G8" t="s">
        <v>70</v>
      </c>
      <c r="H8" t="s">
        <v>66</v>
      </c>
      <c r="I8" t="s">
        <v>67</v>
      </c>
    </row>
    <row r="9" spans="1:14" x14ac:dyDescent="0.25">
      <c r="A9" t="s">
        <v>6</v>
      </c>
      <c r="C9" s="3">
        <f>'VMT, VHT, and User Costs'!C9</f>
        <v>1.620790588564774</v>
      </c>
      <c r="D9" t="str">
        <f>'VMT, VHT, and User Costs'!D9</f>
        <v>miles</v>
      </c>
      <c r="F9" s="12">
        <v>0.1926184710123312</v>
      </c>
      <c r="G9" s="12">
        <v>3.5876303775197051</v>
      </c>
      <c r="H9" s="12">
        <v>0.13760098285564054</v>
      </c>
      <c r="I9" s="12">
        <v>1.13555217375917E-2</v>
      </c>
    </row>
    <row r="10" spans="1:14" x14ac:dyDescent="0.25">
      <c r="A10" t="s">
        <v>7</v>
      </c>
      <c r="C10" s="3">
        <f>'VMT, VHT, and User Costs'!C10</f>
        <v>0.20171422569238293</v>
      </c>
      <c r="D10" t="str">
        <f>'VMT, VHT, and User Costs'!D10</f>
        <v>hours</v>
      </c>
      <c r="F10" s="8" t="s">
        <v>115</v>
      </c>
      <c r="J10" s="8" t="s">
        <v>116</v>
      </c>
    </row>
    <row r="11" spans="1:14" ht="62.5" x14ac:dyDescent="0.25">
      <c r="A11" s="33" t="s">
        <v>4</v>
      </c>
      <c r="B11" s="34" t="s">
        <v>5</v>
      </c>
      <c r="C11" s="33" t="str">
        <f>'VMT, VHT, and User Costs'!G11</f>
        <v>Added Annual VMT due to Closure</v>
      </c>
      <c r="D11" s="35" t="s">
        <v>62</v>
      </c>
      <c r="E11" s="36" t="s">
        <v>63</v>
      </c>
      <c r="F11" s="35" t="s">
        <v>69</v>
      </c>
      <c r="G11" s="35" t="s">
        <v>71</v>
      </c>
      <c r="H11" s="35" t="s">
        <v>72</v>
      </c>
      <c r="I11" s="35" t="s">
        <v>73</v>
      </c>
      <c r="J11" s="33" t="s">
        <v>101</v>
      </c>
      <c r="K11" s="35" t="s">
        <v>102</v>
      </c>
      <c r="L11" s="35" t="s">
        <v>103</v>
      </c>
      <c r="M11" s="36" t="s">
        <v>104</v>
      </c>
      <c r="N11" s="36" t="s">
        <v>74</v>
      </c>
    </row>
    <row r="12" spans="1:14" x14ac:dyDescent="0.25">
      <c r="A12" s="16">
        <f>'VMT, VHT, and User Costs'!A12</f>
        <v>0</v>
      </c>
      <c r="B12" s="31">
        <f>'VMT, VHT, and User Costs'!B12</f>
        <v>2017</v>
      </c>
      <c r="C12" s="44">
        <f>'VMT, VHT, and User Costs'!G12</f>
        <v>0</v>
      </c>
      <c r="D12" s="17">
        <f>C12-E12</f>
        <v>0</v>
      </c>
      <c r="E12" s="45">
        <f t="shared" ref="E12:E43" si="0">C12*C$5</f>
        <v>0</v>
      </c>
      <c r="F12" s="37">
        <f t="shared" ref="F12:I18" si="1">($D12*F$6+$E12*F$9)/1000000*1.1015</f>
        <v>0</v>
      </c>
      <c r="G12" s="37">
        <f t="shared" si="1"/>
        <v>0</v>
      </c>
      <c r="H12" s="37">
        <f t="shared" si="1"/>
        <v>0</v>
      </c>
      <c r="I12" s="37">
        <f t="shared" si="1"/>
        <v>0</v>
      </c>
      <c r="J12" s="42">
        <f>F12*J$5</f>
        <v>0</v>
      </c>
      <c r="K12" s="9">
        <f t="shared" ref="K12:M12" si="2">G12*K$5</f>
        <v>0</v>
      </c>
      <c r="L12" s="9">
        <f t="shared" si="2"/>
        <v>0</v>
      </c>
      <c r="M12" s="38">
        <f t="shared" si="2"/>
        <v>0</v>
      </c>
      <c r="N12" s="38">
        <f>SUM(J12:M12)</f>
        <v>0</v>
      </c>
    </row>
    <row r="13" spans="1:14" x14ac:dyDescent="0.25">
      <c r="A13" s="16">
        <f>'VMT, VHT, and User Costs'!A13</f>
        <v>1</v>
      </c>
      <c r="B13" s="31">
        <f>'VMT, VHT, and User Costs'!B13</f>
        <v>2018</v>
      </c>
      <c r="C13" s="44">
        <f>'VMT, VHT, and User Costs'!G13</f>
        <v>0</v>
      </c>
      <c r="D13" s="17">
        <f t="shared" ref="D13:D62" si="3">C13-E13</f>
        <v>0</v>
      </c>
      <c r="E13" s="45">
        <f t="shared" si="0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7">
        <f t="shared" si="1"/>
        <v>0</v>
      </c>
      <c r="J13" s="42">
        <f t="shared" ref="J13:J19" si="4">F13*J$5</f>
        <v>0</v>
      </c>
      <c r="K13" s="9">
        <f t="shared" ref="K13:K19" si="5">G13*K$5</f>
        <v>0</v>
      </c>
      <c r="L13" s="9">
        <f t="shared" ref="L13:L19" si="6">H13*L$5</f>
        <v>0</v>
      </c>
      <c r="M13" s="38">
        <f t="shared" ref="M13:M19" si="7">I13*M$5</f>
        <v>0</v>
      </c>
      <c r="N13" s="38">
        <f t="shared" ref="N13:N62" si="8">SUM(J13:M13)</f>
        <v>0</v>
      </c>
    </row>
    <row r="14" spans="1:14" x14ac:dyDescent="0.25">
      <c r="A14" s="16">
        <f>'VMT, VHT, and User Costs'!A14</f>
        <v>2</v>
      </c>
      <c r="B14" s="31">
        <f>'VMT, VHT, and User Costs'!B14</f>
        <v>2019</v>
      </c>
      <c r="C14" s="44">
        <f>'VMT, VHT, and User Costs'!G14</f>
        <v>0</v>
      </c>
      <c r="D14" s="17">
        <f t="shared" si="3"/>
        <v>0</v>
      </c>
      <c r="E14" s="45">
        <f t="shared" si="0"/>
        <v>0</v>
      </c>
      <c r="F14" s="37">
        <f t="shared" si="1"/>
        <v>0</v>
      </c>
      <c r="G14" s="37">
        <f t="shared" si="1"/>
        <v>0</v>
      </c>
      <c r="H14" s="37">
        <f t="shared" si="1"/>
        <v>0</v>
      </c>
      <c r="I14" s="37">
        <f t="shared" si="1"/>
        <v>0</v>
      </c>
      <c r="J14" s="42">
        <f t="shared" si="4"/>
        <v>0</v>
      </c>
      <c r="K14" s="9">
        <f t="shared" si="5"/>
        <v>0</v>
      </c>
      <c r="L14" s="9">
        <f t="shared" si="6"/>
        <v>0</v>
      </c>
      <c r="M14" s="38">
        <f t="shared" si="7"/>
        <v>0</v>
      </c>
      <c r="N14" s="38">
        <f t="shared" si="8"/>
        <v>0</v>
      </c>
    </row>
    <row r="15" spans="1:14" x14ac:dyDescent="0.25">
      <c r="A15" s="16">
        <f>'VMT, VHT, and User Costs'!A15</f>
        <v>3</v>
      </c>
      <c r="B15" s="31">
        <f>'VMT, VHT, and User Costs'!B15</f>
        <v>2020</v>
      </c>
      <c r="C15" s="44">
        <f>'VMT, VHT, and User Costs'!G15</f>
        <v>0</v>
      </c>
      <c r="D15" s="17">
        <f t="shared" si="3"/>
        <v>0</v>
      </c>
      <c r="E15" s="45">
        <f t="shared" si="0"/>
        <v>0</v>
      </c>
      <c r="F15" s="37">
        <f t="shared" si="1"/>
        <v>0</v>
      </c>
      <c r="G15" s="37">
        <f t="shared" si="1"/>
        <v>0</v>
      </c>
      <c r="H15" s="37">
        <f t="shared" si="1"/>
        <v>0</v>
      </c>
      <c r="I15" s="37">
        <f t="shared" si="1"/>
        <v>0</v>
      </c>
      <c r="J15" s="42">
        <f t="shared" si="4"/>
        <v>0</v>
      </c>
      <c r="K15" s="9">
        <f t="shared" si="5"/>
        <v>0</v>
      </c>
      <c r="L15" s="9">
        <f t="shared" si="6"/>
        <v>0</v>
      </c>
      <c r="M15" s="38">
        <f t="shared" si="7"/>
        <v>0</v>
      </c>
      <c r="N15" s="38">
        <f t="shared" si="8"/>
        <v>0</v>
      </c>
    </row>
    <row r="16" spans="1:14" x14ac:dyDescent="0.25">
      <c r="A16" s="16">
        <f>'VMT, VHT, and User Costs'!A16</f>
        <v>4</v>
      </c>
      <c r="B16" s="31">
        <f>'VMT, VHT, and User Costs'!B16</f>
        <v>2021</v>
      </c>
      <c r="C16" s="44">
        <f>'VMT, VHT, and User Costs'!G16</f>
        <v>0</v>
      </c>
      <c r="D16" s="17">
        <f t="shared" si="3"/>
        <v>0</v>
      </c>
      <c r="E16" s="45">
        <f t="shared" si="0"/>
        <v>0</v>
      </c>
      <c r="F16" s="37">
        <f t="shared" si="1"/>
        <v>0</v>
      </c>
      <c r="G16" s="37">
        <f t="shared" si="1"/>
        <v>0</v>
      </c>
      <c r="H16" s="37">
        <f t="shared" si="1"/>
        <v>0</v>
      </c>
      <c r="I16" s="37">
        <f t="shared" si="1"/>
        <v>0</v>
      </c>
      <c r="J16" s="42">
        <f t="shared" si="4"/>
        <v>0</v>
      </c>
      <c r="K16" s="9">
        <f t="shared" si="5"/>
        <v>0</v>
      </c>
      <c r="L16" s="9">
        <f t="shared" si="6"/>
        <v>0</v>
      </c>
      <c r="M16" s="38">
        <f t="shared" si="7"/>
        <v>0</v>
      </c>
      <c r="N16" s="38">
        <f t="shared" si="8"/>
        <v>0</v>
      </c>
    </row>
    <row r="17" spans="1:14" x14ac:dyDescent="0.25">
      <c r="A17" s="16">
        <f>'VMT, VHT, and User Costs'!A17</f>
        <v>5</v>
      </c>
      <c r="B17" s="31">
        <f>'VMT, VHT, and User Costs'!B17</f>
        <v>2022</v>
      </c>
      <c r="C17" s="44">
        <f>'VMT, VHT, and User Costs'!G17</f>
        <v>0</v>
      </c>
      <c r="D17" s="17">
        <f t="shared" si="3"/>
        <v>0</v>
      </c>
      <c r="E17" s="45">
        <f t="shared" si="0"/>
        <v>0</v>
      </c>
      <c r="F17" s="37">
        <f t="shared" si="1"/>
        <v>0</v>
      </c>
      <c r="G17" s="37">
        <f t="shared" si="1"/>
        <v>0</v>
      </c>
      <c r="H17" s="37">
        <f t="shared" si="1"/>
        <v>0</v>
      </c>
      <c r="I17" s="37">
        <f t="shared" si="1"/>
        <v>0</v>
      </c>
      <c r="J17" s="42">
        <f t="shared" si="4"/>
        <v>0</v>
      </c>
      <c r="K17" s="9">
        <f t="shared" si="5"/>
        <v>0</v>
      </c>
      <c r="L17" s="9">
        <f t="shared" si="6"/>
        <v>0</v>
      </c>
      <c r="M17" s="38">
        <f t="shared" si="7"/>
        <v>0</v>
      </c>
      <c r="N17" s="38">
        <f t="shared" si="8"/>
        <v>0</v>
      </c>
    </row>
    <row r="18" spans="1:14" x14ac:dyDescent="0.25">
      <c r="A18" s="16">
        <f>'VMT, VHT, and User Costs'!A18</f>
        <v>6</v>
      </c>
      <c r="B18" s="31">
        <f>'VMT, VHT, and User Costs'!B18</f>
        <v>2023</v>
      </c>
      <c r="C18" s="44">
        <f>'VMT, VHT, and User Costs'!G18</f>
        <v>0</v>
      </c>
      <c r="D18" s="17">
        <f t="shared" si="3"/>
        <v>0</v>
      </c>
      <c r="E18" s="45">
        <f t="shared" si="0"/>
        <v>0</v>
      </c>
      <c r="F18" s="37">
        <f t="shared" si="1"/>
        <v>0</v>
      </c>
      <c r="G18" s="37">
        <f t="shared" si="1"/>
        <v>0</v>
      </c>
      <c r="H18" s="37">
        <f t="shared" si="1"/>
        <v>0</v>
      </c>
      <c r="I18" s="37">
        <f t="shared" si="1"/>
        <v>0</v>
      </c>
      <c r="J18" s="42">
        <f t="shared" si="4"/>
        <v>0</v>
      </c>
      <c r="K18" s="9">
        <f t="shared" si="5"/>
        <v>0</v>
      </c>
      <c r="L18" s="9">
        <f t="shared" si="6"/>
        <v>0</v>
      </c>
      <c r="M18" s="38">
        <f t="shared" si="7"/>
        <v>0</v>
      </c>
      <c r="N18" s="38">
        <f t="shared" si="8"/>
        <v>0</v>
      </c>
    </row>
    <row r="19" spans="1:14" x14ac:dyDescent="0.25">
      <c r="A19" s="16">
        <f>'VMT, VHT, and User Costs'!A19</f>
        <v>7</v>
      </c>
      <c r="B19" s="31">
        <f>'VMT, VHT, and User Costs'!B19</f>
        <v>2024</v>
      </c>
      <c r="C19" s="101">
        <f>'VMT, VHT, and User Costs'!G19</f>
        <v>17505105.633205555</v>
      </c>
      <c r="D19" s="91">
        <f t="shared" si="3"/>
        <v>17049972.886742212</v>
      </c>
      <c r="E19" s="92">
        <f t="shared" si="0"/>
        <v>455132.74646334443</v>
      </c>
      <c r="F19" s="37">
        <f>($D19*F$6+$E19*F$9)/1000000*1.1015</f>
        <v>0.78078326979866064</v>
      </c>
      <c r="G19" s="37">
        <f t="shared" ref="G19:I34" si="9">($D19*G$6+$E19*G$9)/1000000*1.1015</f>
        <v>5.4760188039827504</v>
      </c>
      <c r="H19" s="37">
        <f t="shared" si="9"/>
        <v>0.23338556136608815</v>
      </c>
      <c r="I19" s="37">
        <f t="shared" si="9"/>
        <v>4.7816745055648965E-2</v>
      </c>
      <c r="J19" s="42">
        <f t="shared" si="4"/>
        <v>1639.6448665771873</v>
      </c>
      <c r="K19" s="9">
        <f t="shared" si="5"/>
        <v>47093.761714251654</v>
      </c>
      <c r="L19" s="9">
        <f t="shared" si="6"/>
        <v>90390.22791708594</v>
      </c>
      <c r="M19" s="38">
        <f t="shared" si="7"/>
        <v>2395.6189272880133</v>
      </c>
      <c r="N19" s="38">
        <f t="shared" si="8"/>
        <v>141519.2534252028</v>
      </c>
    </row>
    <row r="20" spans="1:14" x14ac:dyDescent="0.25">
      <c r="A20" s="16">
        <f>'VMT, VHT, and User Costs'!A20</f>
        <v>8</v>
      </c>
      <c r="B20" s="31">
        <f>'VMT, VHT, and User Costs'!B20</f>
        <v>2025</v>
      </c>
      <c r="C20" s="101">
        <f>'VMT, VHT, and User Costs'!G20</f>
        <v>17593843.917929478</v>
      </c>
      <c r="D20" s="91">
        <f t="shared" si="3"/>
        <v>17136403.976063311</v>
      </c>
      <c r="E20" s="92">
        <f t="shared" si="0"/>
        <v>457439.94186616642</v>
      </c>
      <c r="F20" s="37">
        <f t="shared" ref="F20:I62" si="10">($D20*F$6+$E20*F$9)/1000000*1.1015</f>
        <v>0.78474127893924195</v>
      </c>
      <c r="G20" s="37">
        <f t="shared" si="9"/>
        <v>5.5037782774737076</v>
      </c>
      <c r="H20" s="37">
        <f t="shared" si="9"/>
        <v>0.23456865816246913</v>
      </c>
      <c r="I20" s="37">
        <f t="shared" si="9"/>
        <v>4.8059141532781346E-2</v>
      </c>
      <c r="J20" s="42">
        <f t="shared" ref="J20:J62" si="11">F20*J$5</f>
        <v>1647.956685772408</v>
      </c>
      <c r="K20" s="9">
        <f t="shared" ref="K20:K62" si="12">G20*K$5</f>
        <v>47332.493186273889</v>
      </c>
      <c r="L20" s="9">
        <f t="shared" ref="L20:L62" si="13">H20*L$5</f>
        <v>90848.441306324297</v>
      </c>
      <c r="M20" s="38">
        <f t="shared" ref="M20:M62" si="14">I20*M$5</f>
        <v>2407.7629907923456</v>
      </c>
      <c r="N20" s="38">
        <f t="shared" si="8"/>
        <v>142236.65416916294</v>
      </c>
    </row>
    <row r="21" spans="1:14" x14ac:dyDescent="0.25">
      <c r="A21" s="16">
        <f>'VMT, VHT, and User Costs'!A21</f>
        <v>9</v>
      </c>
      <c r="B21" s="31">
        <f>'VMT, VHT, and User Costs'!B21</f>
        <v>2026</v>
      </c>
      <c r="C21" s="101">
        <f>'VMT, VHT, and User Costs'!G21</f>
        <v>17676666.317005139</v>
      </c>
      <c r="D21" s="91">
        <f t="shared" si="3"/>
        <v>17217072.992763005</v>
      </c>
      <c r="E21" s="92">
        <f t="shared" si="0"/>
        <v>459593.32424213359</v>
      </c>
      <c r="F21" s="37">
        <f t="shared" si="10"/>
        <v>0.78843542080378437</v>
      </c>
      <c r="G21" s="37">
        <f t="shared" si="9"/>
        <v>5.5296871193986021</v>
      </c>
      <c r="H21" s="37">
        <f t="shared" si="9"/>
        <v>0.23567288183909138</v>
      </c>
      <c r="I21" s="37">
        <f t="shared" si="9"/>
        <v>4.8285378244771575E-2</v>
      </c>
      <c r="J21" s="42">
        <f t="shared" si="11"/>
        <v>1655.7143836879472</v>
      </c>
      <c r="K21" s="9">
        <f t="shared" si="12"/>
        <v>47555.30922682798</v>
      </c>
      <c r="L21" s="9">
        <f t="shared" si="13"/>
        <v>91276.107136280087</v>
      </c>
      <c r="M21" s="38">
        <f t="shared" si="14"/>
        <v>2419.0974500630559</v>
      </c>
      <c r="N21" s="38">
        <f t="shared" si="8"/>
        <v>142906.2281968591</v>
      </c>
    </row>
    <row r="22" spans="1:14" x14ac:dyDescent="0.25">
      <c r="A22" s="16">
        <f>'VMT, VHT, and User Costs'!A22</f>
        <v>10</v>
      </c>
      <c r="B22" s="31">
        <f>'VMT, VHT, and User Costs'!B22</f>
        <v>2027</v>
      </c>
      <c r="C22" s="101">
        <f>'VMT, VHT, and User Costs'!G22</f>
        <v>17759488.716080796</v>
      </c>
      <c r="D22" s="91">
        <f t="shared" si="3"/>
        <v>17297742.009462696</v>
      </c>
      <c r="E22" s="92">
        <f t="shared" si="0"/>
        <v>461746.7066181007</v>
      </c>
      <c r="F22" s="37">
        <f t="shared" si="10"/>
        <v>0.7921295626683269</v>
      </c>
      <c r="G22" s="37">
        <f t="shared" si="9"/>
        <v>5.555595961323494</v>
      </c>
      <c r="H22" s="37">
        <f t="shared" si="9"/>
        <v>0.23677710551571363</v>
      </c>
      <c r="I22" s="37">
        <f t="shared" si="9"/>
        <v>4.8511614956761803E-2</v>
      </c>
      <c r="J22" s="42">
        <f t="shared" si="11"/>
        <v>1663.4720816034865</v>
      </c>
      <c r="K22" s="9">
        <f t="shared" si="12"/>
        <v>47778.125267382049</v>
      </c>
      <c r="L22" s="9">
        <f t="shared" si="13"/>
        <v>91703.772966235891</v>
      </c>
      <c r="M22" s="38">
        <f t="shared" si="14"/>
        <v>2430.4319093337663</v>
      </c>
      <c r="N22" s="38">
        <f t="shared" si="8"/>
        <v>143575.8022245552</v>
      </c>
    </row>
    <row r="23" spans="1:14" x14ac:dyDescent="0.25">
      <c r="A23" s="16">
        <f>'VMT, VHT, and User Costs'!A23</f>
        <v>11</v>
      </c>
      <c r="B23" s="31">
        <f>'VMT, VHT, and User Costs'!B23</f>
        <v>2028</v>
      </c>
      <c r="C23" s="101">
        <f>'VMT, VHT, and User Costs'!G23</f>
        <v>17848227.000804719</v>
      </c>
      <c r="D23" s="91">
        <f t="shared" si="3"/>
        <v>17384173.098783795</v>
      </c>
      <c r="E23" s="92">
        <f t="shared" si="0"/>
        <v>464053.90202092269</v>
      </c>
      <c r="F23" s="37">
        <f t="shared" si="10"/>
        <v>0.7960875718089081</v>
      </c>
      <c r="G23" s="37">
        <f t="shared" si="9"/>
        <v>5.5833554348144503</v>
      </c>
      <c r="H23" s="37">
        <f t="shared" si="9"/>
        <v>0.23796020231209458</v>
      </c>
      <c r="I23" s="37">
        <f t="shared" si="9"/>
        <v>4.8754011433894184E-2</v>
      </c>
      <c r="J23" s="42">
        <f t="shared" si="11"/>
        <v>1671.783900798707</v>
      </c>
      <c r="K23" s="9">
        <f t="shared" si="12"/>
        <v>48016.856739404269</v>
      </c>
      <c r="L23" s="9">
        <f t="shared" si="13"/>
        <v>92161.986355474233</v>
      </c>
      <c r="M23" s="38">
        <f t="shared" si="14"/>
        <v>2442.5759728380986</v>
      </c>
      <c r="N23" s="38">
        <f t="shared" si="8"/>
        <v>144293.20296851531</v>
      </c>
    </row>
    <row r="24" spans="1:14" x14ac:dyDescent="0.25">
      <c r="A24" s="16">
        <f>'VMT, VHT, and User Costs'!A24</f>
        <v>12</v>
      </c>
      <c r="B24" s="31">
        <f>'VMT, VHT, and User Costs'!B24</f>
        <v>2029</v>
      </c>
      <c r="C24" s="101">
        <f>'VMT, VHT, and User Costs'!G24</f>
        <v>17931049.399880379</v>
      </c>
      <c r="D24" s="91">
        <f t="shared" si="3"/>
        <v>17464842.115483489</v>
      </c>
      <c r="E24" s="92">
        <f t="shared" si="0"/>
        <v>466207.28439688985</v>
      </c>
      <c r="F24" s="37">
        <f t="shared" si="10"/>
        <v>0.79978171367345052</v>
      </c>
      <c r="G24" s="37">
        <f t="shared" si="9"/>
        <v>5.609264276739343</v>
      </c>
      <c r="H24" s="37">
        <f t="shared" si="9"/>
        <v>0.23906442598871688</v>
      </c>
      <c r="I24" s="37">
        <f t="shared" si="9"/>
        <v>4.8980248145884427E-2</v>
      </c>
      <c r="J24" s="42">
        <f t="shared" si="11"/>
        <v>1679.541598714246</v>
      </c>
      <c r="K24" s="9">
        <f t="shared" si="12"/>
        <v>48239.672779958353</v>
      </c>
      <c r="L24" s="9">
        <f t="shared" si="13"/>
        <v>92589.652185430052</v>
      </c>
      <c r="M24" s="38">
        <f t="shared" si="14"/>
        <v>2453.9104321088098</v>
      </c>
      <c r="N24" s="38">
        <f t="shared" si="8"/>
        <v>144962.77699621147</v>
      </c>
    </row>
    <row r="25" spans="1:14" x14ac:dyDescent="0.25">
      <c r="A25" s="16">
        <f>'VMT, VHT, and User Costs'!A25</f>
        <v>13</v>
      </c>
      <c r="B25" s="31">
        <f>'VMT, VHT, and User Costs'!B25</f>
        <v>2030</v>
      </c>
      <c r="C25" s="101">
        <f>'VMT, VHT, and User Costs'!G25</f>
        <v>18013871.79895604</v>
      </c>
      <c r="D25" s="91">
        <f t="shared" si="3"/>
        <v>17545511.132183183</v>
      </c>
      <c r="E25" s="92">
        <f t="shared" si="0"/>
        <v>468360.66677285702</v>
      </c>
      <c r="F25" s="37">
        <f t="shared" si="10"/>
        <v>0.80347585553799317</v>
      </c>
      <c r="G25" s="37">
        <f t="shared" si="9"/>
        <v>5.6351731186642366</v>
      </c>
      <c r="H25" s="37">
        <f t="shared" si="9"/>
        <v>0.24016864966533913</v>
      </c>
      <c r="I25" s="37">
        <f t="shared" si="9"/>
        <v>4.9206484857874655E-2</v>
      </c>
      <c r="J25" s="42">
        <f t="shared" si="11"/>
        <v>1687.2992966297857</v>
      </c>
      <c r="K25" s="9">
        <f t="shared" si="12"/>
        <v>48462.488820512437</v>
      </c>
      <c r="L25" s="9">
        <f t="shared" si="13"/>
        <v>93017.318015385841</v>
      </c>
      <c r="M25" s="38">
        <f t="shared" si="14"/>
        <v>2465.2448913795201</v>
      </c>
      <c r="N25" s="38">
        <f t="shared" si="8"/>
        <v>145632.35102390757</v>
      </c>
    </row>
    <row r="26" spans="1:14" x14ac:dyDescent="0.25">
      <c r="A26" s="16">
        <f>'VMT, VHT, and User Costs'!A26</f>
        <v>14</v>
      </c>
      <c r="B26" s="31">
        <f>'VMT, VHT, and User Costs'!B26</f>
        <v>2031</v>
      </c>
      <c r="C26" s="101">
        <f>'VMT, VHT, and User Costs'!G26</f>
        <v>18096694.198031701</v>
      </c>
      <c r="D26" s="91">
        <f t="shared" si="3"/>
        <v>17626180.148882877</v>
      </c>
      <c r="E26" s="92">
        <f t="shared" si="0"/>
        <v>470514.04914882418</v>
      </c>
      <c r="F26" s="37">
        <f t="shared" si="10"/>
        <v>0.80716999740253581</v>
      </c>
      <c r="G26" s="37">
        <f t="shared" si="9"/>
        <v>5.6610819605891312</v>
      </c>
      <c r="H26" s="37">
        <f t="shared" si="9"/>
        <v>0.2412728733419614</v>
      </c>
      <c r="I26" s="37">
        <f t="shared" si="9"/>
        <v>4.9432721569864883E-2</v>
      </c>
      <c r="J26" s="42">
        <f t="shared" si="11"/>
        <v>1695.0569945453251</v>
      </c>
      <c r="K26" s="9">
        <f t="shared" si="12"/>
        <v>48685.304861066528</v>
      </c>
      <c r="L26" s="9">
        <f t="shared" si="13"/>
        <v>93444.983845341645</v>
      </c>
      <c r="M26" s="38">
        <f t="shared" si="14"/>
        <v>2476.5793506502305</v>
      </c>
      <c r="N26" s="38">
        <f t="shared" si="8"/>
        <v>146301.92505160373</v>
      </c>
    </row>
    <row r="27" spans="1:14" x14ac:dyDescent="0.25">
      <c r="A27" s="16">
        <f>'VMT, VHT, and User Costs'!A27</f>
        <v>15</v>
      </c>
      <c r="B27" s="31">
        <f>'VMT, VHT, and User Costs'!B27</f>
        <v>2032</v>
      </c>
      <c r="C27" s="101">
        <f>'VMT, VHT, and User Costs'!G27</f>
        <v>18185432.48275562</v>
      </c>
      <c r="D27" s="91">
        <f t="shared" si="3"/>
        <v>17712611.238203973</v>
      </c>
      <c r="E27" s="92">
        <f t="shared" si="0"/>
        <v>472821.24455164612</v>
      </c>
      <c r="F27" s="37">
        <f t="shared" si="10"/>
        <v>0.81112800654311679</v>
      </c>
      <c r="G27" s="37">
        <f t="shared" si="9"/>
        <v>5.6888414340800857</v>
      </c>
      <c r="H27" s="37">
        <f t="shared" si="9"/>
        <v>0.24245597013834233</v>
      </c>
      <c r="I27" s="37">
        <f t="shared" si="9"/>
        <v>4.9675118046997264E-2</v>
      </c>
      <c r="J27" s="42">
        <f t="shared" si="11"/>
        <v>1703.3688137405452</v>
      </c>
      <c r="K27" s="9">
        <f t="shared" si="12"/>
        <v>48924.036333088734</v>
      </c>
      <c r="L27" s="9">
        <f t="shared" si="13"/>
        <v>93903.197234579988</v>
      </c>
      <c r="M27" s="38">
        <f t="shared" si="14"/>
        <v>2488.7234141545628</v>
      </c>
      <c r="N27" s="38">
        <f t="shared" si="8"/>
        <v>147019.32579556381</v>
      </c>
    </row>
    <row r="28" spans="1:14" x14ac:dyDescent="0.25">
      <c r="A28" s="16">
        <f>'VMT, VHT, and User Costs'!A28</f>
        <v>16</v>
      </c>
      <c r="B28" s="31">
        <f>'VMT, VHT, and User Costs'!B28</f>
        <v>2033</v>
      </c>
      <c r="C28" s="101">
        <f>'VMT, VHT, and User Costs'!G28</f>
        <v>18268254.881831281</v>
      </c>
      <c r="D28" s="91">
        <f t="shared" si="3"/>
        <v>17793280.254903667</v>
      </c>
      <c r="E28" s="92">
        <f t="shared" si="0"/>
        <v>474974.62692761328</v>
      </c>
      <c r="F28" s="37">
        <f t="shared" si="10"/>
        <v>0.81482214840765932</v>
      </c>
      <c r="G28" s="37">
        <f t="shared" si="9"/>
        <v>5.7147502760049793</v>
      </c>
      <c r="H28" s="37">
        <f t="shared" si="9"/>
        <v>0.2435601938149646</v>
      </c>
      <c r="I28" s="37">
        <f t="shared" si="9"/>
        <v>4.99013547589875E-2</v>
      </c>
      <c r="J28" s="42">
        <f t="shared" si="11"/>
        <v>1711.1265116560846</v>
      </c>
      <c r="K28" s="9">
        <f t="shared" si="12"/>
        <v>49146.852373642825</v>
      </c>
      <c r="L28" s="9">
        <f t="shared" si="13"/>
        <v>94330.863064535792</v>
      </c>
      <c r="M28" s="38">
        <f t="shared" si="14"/>
        <v>2500.0578734252736</v>
      </c>
      <c r="N28" s="38">
        <f t="shared" si="8"/>
        <v>147688.89982325997</v>
      </c>
    </row>
    <row r="29" spans="1:14" x14ac:dyDescent="0.25">
      <c r="A29" s="16">
        <f>'VMT, VHT, and User Costs'!A29</f>
        <v>17</v>
      </c>
      <c r="B29" s="31">
        <f>'VMT, VHT, and User Costs'!B29</f>
        <v>2034</v>
      </c>
      <c r="C29" s="101">
        <f>'VMT, VHT, and User Costs'!G29</f>
        <v>18351077.280906942</v>
      </c>
      <c r="D29" s="91">
        <f t="shared" si="3"/>
        <v>17873949.271603361</v>
      </c>
      <c r="E29" s="92">
        <f t="shared" si="0"/>
        <v>477128.00930358045</v>
      </c>
      <c r="F29" s="37">
        <f t="shared" si="10"/>
        <v>0.81851629027220185</v>
      </c>
      <c r="G29" s="37">
        <f t="shared" si="9"/>
        <v>5.7406591179298729</v>
      </c>
      <c r="H29" s="37">
        <f t="shared" si="9"/>
        <v>0.24466441749158688</v>
      </c>
      <c r="I29" s="37">
        <f t="shared" si="9"/>
        <v>5.0127591470977721E-2</v>
      </c>
      <c r="J29" s="42">
        <f t="shared" si="11"/>
        <v>1718.8842095716238</v>
      </c>
      <c r="K29" s="9">
        <f t="shared" si="12"/>
        <v>49369.668414196909</v>
      </c>
      <c r="L29" s="9">
        <f t="shared" si="13"/>
        <v>94758.528894491596</v>
      </c>
      <c r="M29" s="38">
        <f t="shared" si="14"/>
        <v>2511.3923326959839</v>
      </c>
      <c r="N29" s="38">
        <f t="shared" si="8"/>
        <v>148358.4738509561</v>
      </c>
    </row>
    <row r="30" spans="1:14" x14ac:dyDescent="0.25">
      <c r="A30" s="16">
        <f>'VMT, VHT, and User Costs'!A30</f>
        <v>18</v>
      </c>
      <c r="B30" s="31">
        <f>'VMT, VHT, and User Costs'!B30</f>
        <v>2035</v>
      </c>
      <c r="C30" s="101">
        <f>'VMT, VHT, and User Costs'!G30</f>
        <v>18439815.565630861</v>
      </c>
      <c r="D30" s="91">
        <f t="shared" si="3"/>
        <v>17960380.36092446</v>
      </c>
      <c r="E30" s="92">
        <f t="shared" si="0"/>
        <v>479435.20470640238</v>
      </c>
      <c r="F30" s="37">
        <f t="shared" si="10"/>
        <v>0.82247429941278316</v>
      </c>
      <c r="G30" s="37">
        <f t="shared" si="9"/>
        <v>5.7684185914208292</v>
      </c>
      <c r="H30" s="37">
        <f t="shared" si="9"/>
        <v>0.24584751428796783</v>
      </c>
      <c r="I30" s="37">
        <f t="shared" si="9"/>
        <v>5.0369987948110109E-2</v>
      </c>
      <c r="J30" s="42">
        <f t="shared" si="11"/>
        <v>1727.1960287668446</v>
      </c>
      <c r="K30" s="9">
        <f t="shared" si="12"/>
        <v>49608.399886219129</v>
      </c>
      <c r="L30" s="9">
        <f t="shared" si="13"/>
        <v>95216.742283729938</v>
      </c>
      <c r="M30" s="38">
        <f t="shared" si="14"/>
        <v>2523.5363962003166</v>
      </c>
      <c r="N30" s="38">
        <f t="shared" si="8"/>
        <v>149075.87459491621</v>
      </c>
    </row>
    <row r="31" spans="1:14" x14ac:dyDescent="0.25">
      <c r="A31" s="16">
        <f>'VMT, VHT, and User Costs'!A31</f>
        <v>19</v>
      </c>
      <c r="B31" s="31">
        <f>'VMT, VHT, and User Costs'!B31</f>
        <v>2036</v>
      </c>
      <c r="C31" s="101">
        <f>'VMT, VHT, and User Costs'!G31</f>
        <v>18522637.964706521</v>
      </c>
      <c r="D31" s="91">
        <f t="shared" si="3"/>
        <v>18041049.37762415</v>
      </c>
      <c r="E31" s="92">
        <f t="shared" si="0"/>
        <v>481588.58708236954</v>
      </c>
      <c r="F31" s="37">
        <f t="shared" si="10"/>
        <v>0.82616844127732547</v>
      </c>
      <c r="G31" s="37">
        <f t="shared" si="9"/>
        <v>5.794327433345722</v>
      </c>
      <c r="H31" s="37">
        <f t="shared" si="9"/>
        <v>0.24695173796459005</v>
      </c>
      <c r="I31" s="37">
        <f t="shared" si="9"/>
        <v>5.0596224660100338E-2</v>
      </c>
      <c r="J31" s="42">
        <f t="shared" si="11"/>
        <v>1734.9537266823836</v>
      </c>
      <c r="K31" s="9">
        <f t="shared" si="12"/>
        <v>49831.215926773206</v>
      </c>
      <c r="L31" s="9">
        <f t="shared" si="13"/>
        <v>95644.408113685728</v>
      </c>
      <c r="M31" s="38">
        <f t="shared" si="14"/>
        <v>2534.870855471027</v>
      </c>
      <c r="N31" s="38">
        <f t="shared" si="8"/>
        <v>149745.44862261234</v>
      </c>
    </row>
    <row r="32" spans="1:14" x14ac:dyDescent="0.25">
      <c r="A32" s="16">
        <f>'VMT, VHT, and User Costs'!A32</f>
        <v>20</v>
      </c>
      <c r="B32" s="31">
        <f>'VMT, VHT, and User Costs'!B32</f>
        <v>2037</v>
      </c>
      <c r="C32" s="101">
        <f>'VMT, VHT, and User Costs'!G32</f>
        <v>18605460.363782182</v>
      </c>
      <c r="D32" s="91">
        <f t="shared" si="3"/>
        <v>18121718.394323844</v>
      </c>
      <c r="E32" s="92">
        <f t="shared" si="0"/>
        <v>483741.96945833671</v>
      </c>
      <c r="F32" s="37">
        <f t="shared" si="10"/>
        <v>0.82986258314186812</v>
      </c>
      <c r="G32" s="37">
        <f t="shared" si="9"/>
        <v>5.8202362752706147</v>
      </c>
      <c r="H32" s="37">
        <f t="shared" si="9"/>
        <v>0.24805596164121232</v>
      </c>
      <c r="I32" s="37">
        <f t="shared" si="9"/>
        <v>5.0822461372090573E-2</v>
      </c>
      <c r="J32" s="42">
        <f t="shared" si="11"/>
        <v>1742.711424597923</v>
      </c>
      <c r="K32" s="9">
        <f t="shared" si="12"/>
        <v>50054.03196732729</v>
      </c>
      <c r="L32" s="9">
        <f t="shared" si="13"/>
        <v>96072.073943641532</v>
      </c>
      <c r="M32" s="38">
        <f t="shared" si="14"/>
        <v>2546.2053147417378</v>
      </c>
      <c r="N32" s="38">
        <f t="shared" si="8"/>
        <v>150415.02265030847</v>
      </c>
    </row>
    <row r="33" spans="1:14" x14ac:dyDescent="0.25">
      <c r="A33" s="16">
        <f>'VMT, VHT, and User Costs'!A33</f>
        <v>21</v>
      </c>
      <c r="B33" s="31">
        <f>'VMT, VHT, and User Costs'!B33</f>
        <v>2038</v>
      </c>
      <c r="C33" s="101">
        <f>'VMT, VHT, and User Costs'!G33</f>
        <v>18694198.648506101</v>
      </c>
      <c r="D33" s="91">
        <f t="shared" si="3"/>
        <v>18208149.483644944</v>
      </c>
      <c r="E33" s="92">
        <f t="shared" si="0"/>
        <v>486049.16486115858</v>
      </c>
      <c r="F33" s="37">
        <f t="shared" si="10"/>
        <v>0.83382059228244942</v>
      </c>
      <c r="G33" s="37">
        <f t="shared" si="9"/>
        <v>5.8479957487615719</v>
      </c>
      <c r="H33" s="37">
        <f t="shared" si="9"/>
        <v>0.24923905843759328</v>
      </c>
      <c r="I33" s="37">
        <f t="shared" si="9"/>
        <v>5.1064857849222961E-2</v>
      </c>
      <c r="J33" s="42">
        <f t="shared" si="11"/>
        <v>1751.0232437931438</v>
      </c>
      <c r="K33" s="9">
        <f t="shared" si="12"/>
        <v>50292.763439349517</v>
      </c>
      <c r="L33" s="9">
        <f t="shared" si="13"/>
        <v>96530.287332879874</v>
      </c>
      <c r="M33" s="38">
        <f t="shared" si="14"/>
        <v>2558.3493782460705</v>
      </c>
      <c r="N33" s="38">
        <f t="shared" si="8"/>
        <v>151132.42339426858</v>
      </c>
    </row>
    <row r="34" spans="1:14" x14ac:dyDescent="0.25">
      <c r="A34" s="16">
        <f>'VMT, VHT, and User Costs'!A34</f>
        <v>22</v>
      </c>
      <c r="B34" s="31">
        <f>'VMT, VHT, and User Costs'!B34</f>
        <v>2039</v>
      </c>
      <c r="C34" s="101">
        <f>'VMT, VHT, and User Costs'!G34</f>
        <v>18777021.047581762</v>
      </c>
      <c r="D34" s="91">
        <f t="shared" si="3"/>
        <v>18288818.500344638</v>
      </c>
      <c r="E34" s="92">
        <f t="shared" si="0"/>
        <v>488202.54723712581</v>
      </c>
      <c r="F34" s="37">
        <f t="shared" si="10"/>
        <v>0.83751473414699185</v>
      </c>
      <c r="G34" s="37">
        <f t="shared" si="9"/>
        <v>5.8739045906864655</v>
      </c>
      <c r="H34" s="37">
        <f t="shared" si="9"/>
        <v>0.25034328211421553</v>
      </c>
      <c r="I34" s="37">
        <f t="shared" si="9"/>
        <v>5.1291094561213182E-2</v>
      </c>
      <c r="J34" s="42">
        <f t="shared" si="11"/>
        <v>1758.7809417086828</v>
      </c>
      <c r="K34" s="9">
        <f t="shared" si="12"/>
        <v>50515.579479903601</v>
      </c>
      <c r="L34" s="9">
        <f t="shared" si="13"/>
        <v>96957.953162835678</v>
      </c>
      <c r="M34" s="38">
        <f t="shared" si="14"/>
        <v>2569.6838375167804</v>
      </c>
      <c r="N34" s="38">
        <f t="shared" si="8"/>
        <v>151801.99742196474</v>
      </c>
    </row>
    <row r="35" spans="1:14" x14ac:dyDescent="0.25">
      <c r="A35" s="16">
        <f>'VMT, VHT, and User Costs'!A35</f>
        <v>23</v>
      </c>
      <c r="B35" s="31">
        <f>'VMT, VHT, and User Costs'!B35</f>
        <v>2040</v>
      </c>
      <c r="C35" s="101">
        <f>'VMT, VHT, and User Costs'!G35</f>
        <v>18859843.446657423</v>
      </c>
      <c r="D35" s="91">
        <f t="shared" si="3"/>
        <v>18369487.517044328</v>
      </c>
      <c r="E35" s="92">
        <f t="shared" si="0"/>
        <v>490355.92961309297</v>
      </c>
      <c r="F35" s="37">
        <f t="shared" si="10"/>
        <v>0.84120887601153427</v>
      </c>
      <c r="G35" s="37">
        <f t="shared" si="10"/>
        <v>5.8998134326113574</v>
      </c>
      <c r="H35" s="37">
        <f t="shared" si="10"/>
        <v>0.2514475057908378</v>
      </c>
      <c r="I35" s="37">
        <f t="shared" si="10"/>
        <v>5.1517331273203411E-2</v>
      </c>
      <c r="J35" s="42">
        <f t="shared" si="11"/>
        <v>1766.538639624222</v>
      </c>
      <c r="K35" s="9">
        <f t="shared" si="12"/>
        <v>50738.395520457671</v>
      </c>
      <c r="L35" s="9">
        <f t="shared" si="13"/>
        <v>97385.618992791482</v>
      </c>
      <c r="M35" s="38">
        <f t="shared" si="14"/>
        <v>2581.0182967874907</v>
      </c>
      <c r="N35" s="38">
        <f t="shared" si="8"/>
        <v>152471.57144966087</v>
      </c>
    </row>
    <row r="36" spans="1:14" x14ac:dyDescent="0.25">
      <c r="A36" s="16">
        <f>'VMT, VHT, and User Costs'!A36</f>
        <v>24</v>
      </c>
      <c r="B36" s="31">
        <f>'VMT, VHT, and User Costs'!B36</f>
        <v>2041</v>
      </c>
      <c r="C36" s="101">
        <f>'VMT, VHT, and User Costs'!G36</f>
        <v>18942665.845733084</v>
      </c>
      <c r="D36" s="91">
        <f t="shared" si="3"/>
        <v>18450156.533744022</v>
      </c>
      <c r="E36" s="92">
        <f t="shared" si="0"/>
        <v>492509.31198906014</v>
      </c>
      <c r="F36" s="37">
        <f t="shared" si="10"/>
        <v>0.84490301787607691</v>
      </c>
      <c r="G36" s="37">
        <f t="shared" si="10"/>
        <v>5.9257222745362528</v>
      </c>
      <c r="H36" s="37">
        <f t="shared" si="10"/>
        <v>0.25255172946746007</v>
      </c>
      <c r="I36" s="37">
        <f t="shared" si="10"/>
        <v>5.1743567985193639E-2</v>
      </c>
      <c r="J36" s="42">
        <f t="shared" si="11"/>
        <v>1774.2963375397615</v>
      </c>
      <c r="K36" s="9">
        <f t="shared" si="12"/>
        <v>50961.211561011776</v>
      </c>
      <c r="L36" s="9">
        <f t="shared" si="13"/>
        <v>97813.284822747286</v>
      </c>
      <c r="M36" s="38">
        <f t="shared" si="14"/>
        <v>2592.3527560582015</v>
      </c>
      <c r="N36" s="38">
        <f t="shared" si="8"/>
        <v>153141.14547735703</v>
      </c>
    </row>
    <row r="37" spans="1:14" x14ac:dyDescent="0.25">
      <c r="A37" s="16">
        <f>'VMT, VHT, and User Costs'!A37</f>
        <v>25</v>
      </c>
      <c r="B37" s="31">
        <f>'VMT, VHT, and User Costs'!B37</f>
        <v>2042</v>
      </c>
      <c r="C37" s="101">
        <f>'VMT, VHT, and User Costs'!G37</f>
        <v>19031404.130457006</v>
      </c>
      <c r="D37" s="91">
        <f t="shared" si="3"/>
        <v>18536587.623065125</v>
      </c>
      <c r="E37" s="92">
        <f t="shared" si="0"/>
        <v>494816.50739188213</v>
      </c>
      <c r="F37" s="37">
        <f t="shared" si="10"/>
        <v>0.84886102701665822</v>
      </c>
      <c r="G37" s="37">
        <f t="shared" si="10"/>
        <v>5.95348174802721</v>
      </c>
      <c r="H37" s="37">
        <f t="shared" si="10"/>
        <v>0.25373482626384108</v>
      </c>
      <c r="I37" s="37">
        <f t="shared" si="10"/>
        <v>5.1985964462326041E-2</v>
      </c>
      <c r="J37" s="42">
        <f t="shared" si="11"/>
        <v>1782.6081567349822</v>
      </c>
      <c r="K37" s="9">
        <f t="shared" si="12"/>
        <v>51199.943033034004</v>
      </c>
      <c r="L37" s="9">
        <f t="shared" si="13"/>
        <v>98271.498211985658</v>
      </c>
      <c r="M37" s="38">
        <f t="shared" si="14"/>
        <v>2604.4968195625347</v>
      </c>
      <c r="N37" s="38">
        <f t="shared" si="8"/>
        <v>153858.54622131717</v>
      </c>
    </row>
    <row r="38" spans="1:14" x14ac:dyDescent="0.25">
      <c r="A38" s="16">
        <f>'VMT, VHT, and User Costs'!A38</f>
        <v>26</v>
      </c>
      <c r="B38" s="31">
        <f>'VMT, VHT, and User Costs'!B38</f>
        <v>2043</v>
      </c>
      <c r="C38" s="101">
        <f>'VMT, VHT, and User Costs'!G38</f>
        <v>19114226.529532664</v>
      </c>
      <c r="D38" s="91">
        <f t="shared" si="3"/>
        <v>18617256.639764816</v>
      </c>
      <c r="E38" s="92">
        <f t="shared" si="0"/>
        <v>496969.88976784924</v>
      </c>
      <c r="F38" s="37">
        <f t="shared" si="10"/>
        <v>0.85255516888120053</v>
      </c>
      <c r="G38" s="37">
        <f t="shared" si="10"/>
        <v>5.9793905899521018</v>
      </c>
      <c r="H38" s="37">
        <f t="shared" si="10"/>
        <v>0.25483904994046325</v>
      </c>
      <c r="I38" s="37">
        <f t="shared" si="10"/>
        <v>5.2212201174316256E-2</v>
      </c>
      <c r="J38" s="42">
        <f t="shared" si="11"/>
        <v>1790.3658546505212</v>
      </c>
      <c r="K38" s="9">
        <f t="shared" si="12"/>
        <v>51422.759073588073</v>
      </c>
      <c r="L38" s="9">
        <f t="shared" si="13"/>
        <v>98699.164041941418</v>
      </c>
      <c r="M38" s="38">
        <f t="shared" si="14"/>
        <v>2615.8312788332446</v>
      </c>
      <c r="N38" s="38">
        <f t="shared" si="8"/>
        <v>154528.12024901327</v>
      </c>
    </row>
    <row r="39" spans="1:14" x14ac:dyDescent="0.25">
      <c r="A39" s="16">
        <f>'VMT, VHT, and User Costs'!A39</f>
        <v>27</v>
      </c>
      <c r="B39" s="31">
        <f>'VMT, VHT, and User Costs'!B39</f>
        <v>2044</v>
      </c>
      <c r="C39" s="101">
        <f>'VMT, VHT, and User Costs'!G39</f>
        <v>19197048.928608324</v>
      </c>
      <c r="D39" s="91">
        <f t="shared" si="3"/>
        <v>18697925.65646451</v>
      </c>
      <c r="E39" s="92">
        <f t="shared" si="0"/>
        <v>499123.2721438164</v>
      </c>
      <c r="F39" s="37">
        <f t="shared" si="10"/>
        <v>0.85624931074574318</v>
      </c>
      <c r="G39" s="37">
        <f t="shared" si="10"/>
        <v>6.0052994318769937</v>
      </c>
      <c r="H39" s="37">
        <f t="shared" si="10"/>
        <v>0.25594327361708558</v>
      </c>
      <c r="I39" s="37">
        <f t="shared" si="10"/>
        <v>5.2438437886306491E-2</v>
      </c>
      <c r="J39" s="42">
        <f t="shared" si="11"/>
        <v>1798.1235525660607</v>
      </c>
      <c r="K39" s="9">
        <f t="shared" si="12"/>
        <v>51645.575114142142</v>
      </c>
      <c r="L39" s="9">
        <f t="shared" si="13"/>
        <v>99126.829871897236</v>
      </c>
      <c r="M39" s="38">
        <f t="shared" si="14"/>
        <v>2627.1657381039554</v>
      </c>
      <c r="N39" s="38">
        <f t="shared" si="8"/>
        <v>155197.6942767094</v>
      </c>
    </row>
    <row r="40" spans="1:14" x14ac:dyDescent="0.25">
      <c r="A40" s="16">
        <f>'VMT, VHT, and User Costs'!A40</f>
        <v>28</v>
      </c>
      <c r="B40" s="31">
        <f>'VMT, VHT, and User Costs'!B40</f>
        <v>2045</v>
      </c>
      <c r="C40" s="101">
        <f>'VMT, VHT, and User Costs'!G40</f>
        <v>19285787.213332247</v>
      </c>
      <c r="D40" s="91">
        <f t="shared" si="3"/>
        <v>18784356.745785609</v>
      </c>
      <c r="E40" s="92">
        <f t="shared" si="0"/>
        <v>501430.46754663839</v>
      </c>
      <c r="F40" s="37">
        <f t="shared" si="10"/>
        <v>0.86020731988632437</v>
      </c>
      <c r="G40" s="37">
        <f t="shared" si="10"/>
        <v>6.0330589053679518</v>
      </c>
      <c r="H40" s="37">
        <f t="shared" si="10"/>
        <v>0.25712637041346653</v>
      </c>
      <c r="I40" s="37">
        <f t="shared" si="10"/>
        <v>5.2680834363438879E-2</v>
      </c>
      <c r="J40" s="42">
        <f t="shared" si="11"/>
        <v>1806.4353717612812</v>
      </c>
      <c r="K40" s="9">
        <f t="shared" si="12"/>
        <v>51884.306586164384</v>
      </c>
      <c r="L40" s="9">
        <f t="shared" si="13"/>
        <v>99585.043261135594</v>
      </c>
      <c r="M40" s="38">
        <f t="shared" si="14"/>
        <v>2639.3098016082877</v>
      </c>
      <c r="N40" s="38">
        <f t="shared" si="8"/>
        <v>155915.09502066954</v>
      </c>
    </row>
    <row r="41" spans="1:14" x14ac:dyDescent="0.25">
      <c r="A41" s="16">
        <f>'VMT, VHT, and User Costs'!A41</f>
        <v>29</v>
      </c>
      <c r="B41" s="31">
        <f>'VMT, VHT, and User Costs'!B41</f>
        <v>2046</v>
      </c>
      <c r="C41" s="101">
        <f>'VMT, VHT, and User Costs'!G41</f>
        <v>19368609.612407904</v>
      </c>
      <c r="D41" s="91">
        <f t="shared" si="3"/>
        <v>18865025.762485299</v>
      </c>
      <c r="E41" s="92">
        <f t="shared" si="0"/>
        <v>503583.8499226055</v>
      </c>
      <c r="F41" s="37">
        <f t="shared" si="10"/>
        <v>0.86390146175086679</v>
      </c>
      <c r="G41" s="37">
        <f t="shared" si="10"/>
        <v>6.0589677472928445</v>
      </c>
      <c r="H41" s="37">
        <f t="shared" si="10"/>
        <v>0.25823059409008875</v>
      </c>
      <c r="I41" s="37">
        <f t="shared" si="10"/>
        <v>5.29070710754291E-2</v>
      </c>
      <c r="J41" s="42">
        <f t="shared" si="11"/>
        <v>1814.1930696768202</v>
      </c>
      <c r="K41" s="9">
        <f t="shared" si="12"/>
        <v>52107.122626718461</v>
      </c>
      <c r="L41" s="9">
        <f t="shared" si="13"/>
        <v>100012.70909109137</v>
      </c>
      <c r="M41" s="38">
        <f t="shared" si="14"/>
        <v>2650.644260878998</v>
      </c>
      <c r="N41" s="38">
        <f t="shared" si="8"/>
        <v>156584.66904836564</v>
      </c>
    </row>
    <row r="42" spans="1:14" x14ac:dyDescent="0.25">
      <c r="A42" s="16">
        <f>'VMT, VHT, and User Costs'!A42</f>
        <v>30</v>
      </c>
      <c r="B42" s="31">
        <f>'VMT, VHT, and User Costs'!B42</f>
        <v>2047</v>
      </c>
      <c r="C42" s="101">
        <f>'VMT, VHT, and User Costs'!G42</f>
        <v>19451432.011483565</v>
      </c>
      <c r="D42" s="91">
        <f t="shared" si="3"/>
        <v>18945694.779184993</v>
      </c>
      <c r="E42" s="92">
        <f t="shared" si="0"/>
        <v>505737.23229857266</v>
      </c>
      <c r="F42" s="37">
        <f t="shared" si="10"/>
        <v>0.86759560361540944</v>
      </c>
      <c r="G42" s="37">
        <f t="shared" si="10"/>
        <v>6.0848765892177372</v>
      </c>
      <c r="H42" s="37">
        <f t="shared" si="10"/>
        <v>0.25933481776671102</v>
      </c>
      <c r="I42" s="37">
        <f t="shared" si="10"/>
        <v>5.3133307787419336E-2</v>
      </c>
      <c r="J42" s="42">
        <f t="shared" si="11"/>
        <v>1821.9507675923599</v>
      </c>
      <c r="K42" s="9">
        <f t="shared" si="12"/>
        <v>52329.938667272538</v>
      </c>
      <c r="L42" s="9">
        <f t="shared" si="13"/>
        <v>100440.37492104717</v>
      </c>
      <c r="M42" s="38">
        <f t="shared" si="14"/>
        <v>2661.9787201497088</v>
      </c>
      <c r="N42" s="38">
        <f t="shared" si="8"/>
        <v>157254.24307606177</v>
      </c>
    </row>
    <row r="43" spans="1:14" x14ac:dyDescent="0.25">
      <c r="A43" s="16">
        <f>'VMT, VHT, and User Costs'!A43</f>
        <v>31</v>
      </c>
      <c r="B43" s="31">
        <f>'VMT, VHT, and User Costs'!B43</f>
        <v>2048</v>
      </c>
      <c r="C43" s="101">
        <f>'VMT, VHT, and User Costs'!G43</f>
        <v>19534254.410559226</v>
      </c>
      <c r="D43" s="91">
        <f t="shared" si="3"/>
        <v>19026363.795884687</v>
      </c>
      <c r="E43" s="92">
        <f t="shared" si="0"/>
        <v>507890.61467453983</v>
      </c>
      <c r="F43" s="37">
        <f t="shared" si="10"/>
        <v>0.87128974547995197</v>
      </c>
      <c r="G43" s="37">
        <f t="shared" si="10"/>
        <v>6.1107854311426308</v>
      </c>
      <c r="H43" s="37">
        <f t="shared" si="10"/>
        <v>0.26043904144333324</v>
      </c>
      <c r="I43" s="37">
        <f t="shared" si="10"/>
        <v>5.3359544499409564E-2</v>
      </c>
      <c r="J43" s="42">
        <f t="shared" si="11"/>
        <v>1829.7084655078991</v>
      </c>
      <c r="K43" s="9">
        <f t="shared" si="12"/>
        <v>52552.754707826622</v>
      </c>
      <c r="L43" s="9">
        <f t="shared" si="13"/>
        <v>100868.04075100296</v>
      </c>
      <c r="M43" s="38">
        <f t="shared" si="14"/>
        <v>2673.3131794204191</v>
      </c>
      <c r="N43" s="38">
        <f t="shared" si="8"/>
        <v>157923.8171037579</v>
      </c>
    </row>
    <row r="44" spans="1:14" x14ac:dyDescent="0.25">
      <c r="A44" s="16">
        <f>'VMT, VHT, and User Costs'!A44</f>
        <v>32</v>
      </c>
      <c r="B44" s="31">
        <f>'VMT, VHT, and User Costs'!B44</f>
        <v>2049</v>
      </c>
      <c r="C44" s="101">
        <f>'VMT, VHT, and User Costs'!G44</f>
        <v>19622992.695283148</v>
      </c>
      <c r="D44" s="91">
        <f t="shared" si="3"/>
        <v>19112794.885205787</v>
      </c>
      <c r="E44" s="92">
        <f t="shared" ref="E44:E62" si="15">C44*C$5</f>
        <v>510197.81007736182</v>
      </c>
      <c r="F44" s="37">
        <f t="shared" si="10"/>
        <v>0.87524775462053317</v>
      </c>
      <c r="G44" s="37">
        <f t="shared" si="10"/>
        <v>6.138544904633588</v>
      </c>
      <c r="H44" s="37">
        <f t="shared" si="10"/>
        <v>0.26162213823971425</v>
      </c>
      <c r="I44" s="37">
        <f t="shared" si="10"/>
        <v>5.3601940976541952E-2</v>
      </c>
      <c r="J44" s="42">
        <f t="shared" si="11"/>
        <v>1838.0202847031196</v>
      </c>
      <c r="K44" s="9">
        <f t="shared" si="12"/>
        <v>52791.486179848856</v>
      </c>
      <c r="L44" s="9">
        <f t="shared" si="13"/>
        <v>101326.25414024133</v>
      </c>
      <c r="M44" s="38">
        <f t="shared" si="14"/>
        <v>2685.4572429247519</v>
      </c>
      <c r="N44" s="38">
        <f t="shared" si="8"/>
        <v>158641.21784771807</v>
      </c>
    </row>
    <row r="45" spans="1:14" x14ac:dyDescent="0.25">
      <c r="A45" s="16">
        <f>'VMT, VHT, and User Costs'!A45</f>
        <v>33</v>
      </c>
      <c r="B45" s="31">
        <f>'VMT, VHT, and User Costs'!B45</f>
        <v>2050</v>
      </c>
      <c r="C45" s="101">
        <f>'VMT, VHT, and User Costs'!G45</f>
        <v>19705815.094358806</v>
      </c>
      <c r="D45" s="91">
        <f t="shared" si="3"/>
        <v>19193463.901905477</v>
      </c>
      <c r="E45" s="92">
        <f t="shared" si="15"/>
        <v>512351.19245332893</v>
      </c>
      <c r="F45" s="37">
        <f t="shared" si="10"/>
        <v>0.87894189648507559</v>
      </c>
      <c r="G45" s="37">
        <f t="shared" si="10"/>
        <v>6.1644537465584799</v>
      </c>
      <c r="H45" s="37">
        <f t="shared" si="10"/>
        <v>0.26272636191633642</v>
      </c>
      <c r="I45" s="37">
        <f t="shared" si="10"/>
        <v>5.3828177688532174E-2</v>
      </c>
      <c r="J45" s="42">
        <f t="shared" si="11"/>
        <v>1845.7779826186588</v>
      </c>
      <c r="K45" s="9">
        <f t="shared" si="12"/>
        <v>53014.302220402926</v>
      </c>
      <c r="L45" s="9">
        <f t="shared" si="13"/>
        <v>101753.91997019709</v>
      </c>
      <c r="M45" s="38">
        <f t="shared" si="14"/>
        <v>2696.7917021954618</v>
      </c>
      <c r="N45" s="38">
        <f t="shared" si="8"/>
        <v>159310.79187541411</v>
      </c>
    </row>
    <row r="46" spans="1:14" x14ac:dyDescent="0.25">
      <c r="A46" s="16">
        <f>'VMT, VHT, and User Costs'!A46</f>
        <v>34</v>
      </c>
      <c r="B46" s="31">
        <f>'VMT, VHT, and User Costs'!B46</f>
        <v>2051</v>
      </c>
      <c r="C46" s="101">
        <f>'VMT, VHT, and User Costs'!G46</f>
        <v>19788637.493434466</v>
      </c>
      <c r="D46" s="91">
        <f t="shared" si="3"/>
        <v>19274132.918605171</v>
      </c>
      <c r="E46" s="92">
        <f t="shared" si="15"/>
        <v>514504.57482929609</v>
      </c>
      <c r="F46" s="37">
        <f t="shared" si="10"/>
        <v>0.88263603834961812</v>
      </c>
      <c r="G46" s="37">
        <f t="shared" si="10"/>
        <v>6.1903625884833735</v>
      </c>
      <c r="H46" s="37">
        <f t="shared" si="10"/>
        <v>0.26383058559295874</v>
      </c>
      <c r="I46" s="37">
        <f t="shared" si="10"/>
        <v>5.4054414400522402E-2</v>
      </c>
      <c r="J46" s="42">
        <f t="shared" si="11"/>
        <v>1853.535680534198</v>
      </c>
      <c r="K46" s="9">
        <f t="shared" si="12"/>
        <v>53237.11826095701</v>
      </c>
      <c r="L46" s="9">
        <f t="shared" si="13"/>
        <v>102181.58580015293</v>
      </c>
      <c r="M46" s="38">
        <f t="shared" si="14"/>
        <v>2708.1261614661726</v>
      </c>
      <c r="N46" s="38">
        <f t="shared" si="8"/>
        <v>159980.3659031103</v>
      </c>
    </row>
    <row r="47" spans="1:14" x14ac:dyDescent="0.25">
      <c r="A47" s="16">
        <f>'VMT, VHT, and User Costs'!A47</f>
        <v>35</v>
      </c>
      <c r="B47" s="31">
        <f>'VMT, VHT, and User Costs'!B47</f>
        <v>2052</v>
      </c>
      <c r="C47" s="101">
        <f>'VMT, VHT, and User Costs'!G47</f>
        <v>19877375.778158389</v>
      </c>
      <c r="D47" s="91">
        <f t="shared" si="3"/>
        <v>19360564.00792627</v>
      </c>
      <c r="E47" s="92">
        <f t="shared" si="15"/>
        <v>516811.77023211808</v>
      </c>
      <c r="F47" s="37">
        <f t="shared" si="10"/>
        <v>0.88659404749019943</v>
      </c>
      <c r="G47" s="37">
        <f t="shared" si="10"/>
        <v>6.2181220619743316</v>
      </c>
      <c r="H47" s="37">
        <f t="shared" si="10"/>
        <v>0.2650136823893397</v>
      </c>
      <c r="I47" s="37">
        <f t="shared" si="10"/>
        <v>5.429681087765479E-2</v>
      </c>
      <c r="J47" s="42">
        <f t="shared" si="11"/>
        <v>1861.8474997294188</v>
      </c>
      <c r="K47" s="9">
        <f t="shared" si="12"/>
        <v>53475.849732979252</v>
      </c>
      <c r="L47" s="9">
        <f t="shared" si="13"/>
        <v>102639.79918939127</v>
      </c>
      <c r="M47" s="38">
        <f t="shared" si="14"/>
        <v>2720.2702249705048</v>
      </c>
      <c r="N47" s="38">
        <f t="shared" si="8"/>
        <v>160697.76664707044</v>
      </c>
    </row>
    <row r="48" spans="1:14" x14ac:dyDescent="0.25">
      <c r="A48" s="16">
        <f>'VMT, VHT, and User Costs'!A48</f>
        <v>36</v>
      </c>
      <c r="B48" s="31">
        <f>'VMT, VHT, and User Costs'!B48</f>
        <v>2053</v>
      </c>
      <c r="C48" s="101">
        <f>'VMT, VHT, and User Costs'!G48</f>
        <v>19960198.177234046</v>
      </c>
      <c r="D48" s="91">
        <f t="shared" si="3"/>
        <v>19441233.024625961</v>
      </c>
      <c r="E48" s="92">
        <f t="shared" si="15"/>
        <v>518965.15260808519</v>
      </c>
      <c r="F48" s="37">
        <f t="shared" si="10"/>
        <v>0.89028818935474174</v>
      </c>
      <c r="G48" s="37">
        <f t="shared" si="10"/>
        <v>6.2440309038992234</v>
      </c>
      <c r="H48" s="37">
        <f t="shared" si="10"/>
        <v>0.26611790606596192</v>
      </c>
      <c r="I48" s="37">
        <f t="shared" si="10"/>
        <v>5.4523047589645018E-2</v>
      </c>
      <c r="J48" s="42">
        <f t="shared" si="11"/>
        <v>1869.6051976449576</v>
      </c>
      <c r="K48" s="9">
        <f t="shared" si="12"/>
        <v>53698.665773533321</v>
      </c>
      <c r="L48" s="9">
        <f t="shared" si="13"/>
        <v>103067.46501934704</v>
      </c>
      <c r="M48" s="38">
        <f t="shared" si="14"/>
        <v>2731.6046842412156</v>
      </c>
      <c r="N48" s="38">
        <f t="shared" si="8"/>
        <v>161367.34067476654</v>
      </c>
    </row>
    <row r="49" spans="1:14" x14ac:dyDescent="0.25">
      <c r="A49" s="16">
        <f>'VMT, VHT, and User Costs'!A49</f>
        <v>37</v>
      </c>
      <c r="B49" s="31">
        <f>'VMT, VHT, and User Costs'!B49</f>
        <v>2054</v>
      </c>
      <c r="C49" s="101">
        <f>'VMT, VHT, and User Costs'!G49</f>
        <v>20043020.576309707</v>
      </c>
      <c r="D49" s="91">
        <f t="shared" si="3"/>
        <v>19521902.041325655</v>
      </c>
      <c r="E49" s="92">
        <f t="shared" si="15"/>
        <v>521118.53498405236</v>
      </c>
      <c r="F49" s="37">
        <f t="shared" si="10"/>
        <v>0.89398233121928439</v>
      </c>
      <c r="G49" s="37">
        <f t="shared" si="10"/>
        <v>6.2699397458241162</v>
      </c>
      <c r="H49" s="37">
        <f t="shared" si="10"/>
        <v>0.26722212974258419</v>
      </c>
      <c r="I49" s="37">
        <f t="shared" si="10"/>
        <v>5.474928430163524E-2</v>
      </c>
      <c r="J49" s="42">
        <f t="shared" si="11"/>
        <v>1877.3628955604972</v>
      </c>
      <c r="K49" s="9">
        <f t="shared" si="12"/>
        <v>53921.481814087398</v>
      </c>
      <c r="L49" s="9">
        <f t="shared" si="13"/>
        <v>103495.13084930286</v>
      </c>
      <c r="M49" s="38">
        <f t="shared" si="14"/>
        <v>2742.9391435119255</v>
      </c>
      <c r="N49" s="38">
        <f t="shared" si="8"/>
        <v>162036.91470246267</v>
      </c>
    </row>
    <row r="50" spans="1:14" x14ac:dyDescent="0.25">
      <c r="A50" s="16">
        <f>'VMT, VHT, and User Costs'!A50</f>
        <v>0</v>
      </c>
      <c r="B50" s="31">
        <f>'VMT, VHT, and User Costs'!B50</f>
        <v>0</v>
      </c>
      <c r="C50" s="44">
        <f>'VMT, VHT, and User Costs'!G50</f>
        <v>0</v>
      </c>
      <c r="D50" s="17">
        <f t="shared" si="3"/>
        <v>0</v>
      </c>
      <c r="E50" s="45">
        <f t="shared" si="15"/>
        <v>0</v>
      </c>
      <c r="F50" s="37">
        <f t="shared" si="10"/>
        <v>0</v>
      </c>
      <c r="G50" s="37">
        <f t="shared" si="10"/>
        <v>0</v>
      </c>
      <c r="H50" s="37">
        <f t="shared" si="10"/>
        <v>0</v>
      </c>
      <c r="I50" s="37">
        <f t="shared" si="10"/>
        <v>0</v>
      </c>
      <c r="J50" s="42">
        <f t="shared" si="11"/>
        <v>0</v>
      </c>
      <c r="K50" s="9">
        <f t="shared" si="12"/>
        <v>0</v>
      </c>
      <c r="L50" s="9">
        <f t="shared" si="13"/>
        <v>0</v>
      </c>
      <c r="M50" s="38">
        <f t="shared" si="14"/>
        <v>0</v>
      </c>
      <c r="N50" s="38">
        <f t="shared" si="8"/>
        <v>0</v>
      </c>
    </row>
    <row r="51" spans="1:14" x14ac:dyDescent="0.25">
      <c r="A51" s="16">
        <f>'VMT, VHT, and User Costs'!A51</f>
        <v>0</v>
      </c>
      <c r="B51" s="31">
        <f>'VMT, VHT, and User Costs'!B51</f>
        <v>0</v>
      </c>
      <c r="C51" s="44">
        <f>'VMT, VHT, and User Costs'!G51</f>
        <v>0</v>
      </c>
      <c r="D51" s="17">
        <f t="shared" si="3"/>
        <v>0</v>
      </c>
      <c r="E51" s="45">
        <f t="shared" si="15"/>
        <v>0</v>
      </c>
      <c r="F51" s="37">
        <f t="shared" si="10"/>
        <v>0</v>
      </c>
      <c r="G51" s="37">
        <f t="shared" si="10"/>
        <v>0</v>
      </c>
      <c r="H51" s="37">
        <f t="shared" si="10"/>
        <v>0</v>
      </c>
      <c r="I51" s="37">
        <f t="shared" si="10"/>
        <v>0</v>
      </c>
      <c r="J51" s="42">
        <f t="shared" si="11"/>
        <v>0</v>
      </c>
      <c r="K51" s="9">
        <f t="shared" si="12"/>
        <v>0</v>
      </c>
      <c r="L51" s="9">
        <f t="shared" si="13"/>
        <v>0</v>
      </c>
      <c r="M51" s="38">
        <f t="shared" si="14"/>
        <v>0</v>
      </c>
      <c r="N51" s="38">
        <f t="shared" si="8"/>
        <v>0</v>
      </c>
    </row>
    <row r="52" spans="1:14" x14ac:dyDescent="0.25">
      <c r="A52" s="16">
        <f>'VMT, VHT, and User Costs'!A52</f>
        <v>0</v>
      </c>
      <c r="B52" s="31">
        <f>'VMT, VHT, and User Costs'!B52</f>
        <v>0</v>
      </c>
      <c r="C52" s="44">
        <f>'VMT, VHT, and User Costs'!G52</f>
        <v>0</v>
      </c>
      <c r="D52" s="17">
        <f t="shared" si="3"/>
        <v>0</v>
      </c>
      <c r="E52" s="45">
        <f t="shared" si="15"/>
        <v>0</v>
      </c>
      <c r="F52" s="37">
        <f t="shared" si="10"/>
        <v>0</v>
      </c>
      <c r="G52" s="37">
        <f t="shared" si="10"/>
        <v>0</v>
      </c>
      <c r="H52" s="37">
        <f t="shared" si="10"/>
        <v>0</v>
      </c>
      <c r="I52" s="37">
        <f t="shared" si="10"/>
        <v>0</v>
      </c>
      <c r="J52" s="42">
        <f t="shared" si="11"/>
        <v>0</v>
      </c>
      <c r="K52" s="9">
        <f t="shared" si="12"/>
        <v>0</v>
      </c>
      <c r="L52" s="9">
        <f t="shared" si="13"/>
        <v>0</v>
      </c>
      <c r="M52" s="38">
        <f t="shared" si="14"/>
        <v>0</v>
      </c>
      <c r="N52" s="38">
        <f t="shared" si="8"/>
        <v>0</v>
      </c>
    </row>
    <row r="53" spans="1:14" x14ac:dyDescent="0.25">
      <c r="A53" s="16">
        <f>'VMT, VHT, and User Costs'!A53</f>
        <v>0</v>
      </c>
      <c r="B53" s="31">
        <f>'VMT, VHT, and User Costs'!B53</f>
        <v>0</v>
      </c>
      <c r="C53" s="44">
        <f>'VMT, VHT, and User Costs'!G53</f>
        <v>0</v>
      </c>
      <c r="D53" s="17">
        <f t="shared" si="3"/>
        <v>0</v>
      </c>
      <c r="E53" s="45">
        <f t="shared" si="15"/>
        <v>0</v>
      </c>
      <c r="F53" s="37">
        <f t="shared" si="10"/>
        <v>0</v>
      </c>
      <c r="G53" s="37">
        <f t="shared" si="10"/>
        <v>0</v>
      </c>
      <c r="H53" s="37">
        <f t="shared" si="10"/>
        <v>0</v>
      </c>
      <c r="I53" s="37">
        <f t="shared" si="10"/>
        <v>0</v>
      </c>
      <c r="J53" s="42">
        <f t="shared" si="11"/>
        <v>0</v>
      </c>
      <c r="K53" s="9">
        <f t="shared" si="12"/>
        <v>0</v>
      </c>
      <c r="L53" s="9">
        <f t="shared" si="13"/>
        <v>0</v>
      </c>
      <c r="M53" s="38">
        <f t="shared" si="14"/>
        <v>0</v>
      </c>
      <c r="N53" s="38">
        <f t="shared" si="8"/>
        <v>0</v>
      </c>
    </row>
    <row r="54" spans="1:14" x14ac:dyDescent="0.25">
      <c r="A54" s="16">
        <f>'VMT, VHT, and User Costs'!A54</f>
        <v>0</v>
      </c>
      <c r="B54" s="31">
        <f>'VMT, VHT, and User Costs'!B54</f>
        <v>0</v>
      </c>
      <c r="C54" s="44">
        <f>'VMT, VHT, and User Costs'!G54</f>
        <v>0</v>
      </c>
      <c r="D54" s="17">
        <f t="shared" si="3"/>
        <v>0</v>
      </c>
      <c r="E54" s="45">
        <f t="shared" si="15"/>
        <v>0</v>
      </c>
      <c r="F54" s="37">
        <f t="shared" si="10"/>
        <v>0</v>
      </c>
      <c r="G54" s="37">
        <f t="shared" si="10"/>
        <v>0</v>
      </c>
      <c r="H54" s="37">
        <f t="shared" si="10"/>
        <v>0</v>
      </c>
      <c r="I54" s="37">
        <f t="shared" si="10"/>
        <v>0</v>
      </c>
      <c r="J54" s="42">
        <f t="shared" si="11"/>
        <v>0</v>
      </c>
      <c r="K54" s="9">
        <f t="shared" si="12"/>
        <v>0</v>
      </c>
      <c r="L54" s="9">
        <f t="shared" si="13"/>
        <v>0</v>
      </c>
      <c r="M54" s="38">
        <f t="shared" si="14"/>
        <v>0</v>
      </c>
      <c r="N54" s="38">
        <f t="shared" si="8"/>
        <v>0</v>
      </c>
    </row>
    <row r="55" spans="1:14" x14ac:dyDescent="0.25">
      <c r="A55" s="16">
        <f>'VMT, VHT, and User Costs'!A55</f>
        <v>0</v>
      </c>
      <c r="B55" s="31">
        <f>'VMT, VHT, and User Costs'!B55</f>
        <v>0</v>
      </c>
      <c r="C55" s="44">
        <f>'VMT, VHT, and User Costs'!G55</f>
        <v>0</v>
      </c>
      <c r="D55" s="17">
        <f t="shared" si="3"/>
        <v>0</v>
      </c>
      <c r="E55" s="45">
        <f t="shared" si="15"/>
        <v>0</v>
      </c>
      <c r="F55" s="37">
        <f t="shared" si="10"/>
        <v>0</v>
      </c>
      <c r="G55" s="37">
        <f t="shared" si="10"/>
        <v>0</v>
      </c>
      <c r="H55" s="37">
        <f t="shared" si="10"/>
        <v>0</v>
      </c>
      <c r="I55" s="37">
        <f t="shared" si="10"/>
        <v>0</v>
      </c>
      <c r="J55" s="42">
        <f t="shared" si="11"/>
        <v>0</v>
      </c>
      <c r="K55" s="9">
        <f t="shared" si="12"/>
        <v>0</v>
      </c>
      <c r="L55" s="9">
        <f t="shared" si="13"/>
        <v>0</v>
      </c>
      <c r="M55" s="38">
        <f t="shared" si="14"/>
        <v>0</v>
      </c>
      <c r="N55" s="38">
        <f t="shared" si="8"/>
        <v>0</v>
      </c>
    </row>
    <row r="56" spans="1:14" x14ac:dyDescent="0.25">
      <c r="A56" s="16">
        <f>'VMT, VHT, and User Costs'!A56</f>
        <v>0</v>
      </c>
      <c r="B56" s="31">
        <f>'VMT, VHT, and User Costs'!B56</f>
        <v>0</v>
      </c>
      <c r="C56" s="44">
        <f>'VMT, VHT, and User Costs'!G56</f>
        <v>0</v>
      </c>
      <c r="D56" s="17">
        <f t="shared" si="3"/>
        <v>0</v>
      </c>
      <c r="E56" s="45">
        <f t="shared" si="15"/>
        <v>0</v>
      </c>
      <c r="F56" s="37">
        <f t="shared" si="10"/>
        <v>0</v>
      </c>
      <c r="G56" s="37">
        <f t="shared" si="10"/>
        <v>0</v>
      </c>
      <c r="H56" s="37">
        <f t="shared" si="10"/>
        <v>0</v>
      </c>
      <c r="I56" s="37">
        <f t="shared" si="10"/>
        <v>0</v>
      </c>
      <c r="J56" s="42">
        <f t="shared" si="11"/>
        <v>0</v>
      </c>
      <c r="K56" s="9">
        <f t="shared" si="12"/>
        <v>0</v>
      </c>
      <c r="L56" s="9">
        <f t="shared" si="13"/>
        <v>0</v>
      </c>
      <c r="M56" s="38">
        <f t="shared" si="14"/>
        <v>0</v>
      </c>
      <c r="N56" s="38">
        <f t="shared" si="8"/>
        <v>0</v>
      </c>
    </row>
    <row r="57" spans="1:14" x14ac:dyDescent="0.25">
      <c r="A57" s="16">
        <f>'VMT, VHT, and User Costs'!A57</f>
        <v>0</v>
      </c>
      <c r="B57" s="31">
        <f>'VMT, VHT, and User Costs'!B57</f>
        <v>0</v>
      </c>
      <c r="C57" s="44">
        <f>'VMT, VHT, and User Costs'!G57</f>
        <v>0</v>
      </c>
      <c r="D57" s="17">
        <f t="shared" si="3"/>
        <v>0</v>
      </c>
      <c r="E57" s="45">
        <f t="shared" si="15"/>
        <v>0</v>
      </c>
      <c r="F57" s="37">
        <f t="shared" si="10"/>
        <v>0</v>
      </c>
      <c r="G57" s="37">
        <f t="shared" si="10"/>
        <v>0</v>
      </c>
      <c r="H57" s="37">
        <f t="shared" si="10"/>
        <v>0</v>
      </c>
      <c r="I57" s="37">
        <f t="shared" si="10"/>
        <v>0</v>
      </c>
      <c r="J57" s="42">
        <f t="shared" si="11"/>
        <v>0</v>
      </c>
      <c r="K57" s="9">
        <f t="shared" si="12"/>
        <v>0</v>
      </c>
      <c r="L57" s="9">
        <f t="shared" si="13"/>
        <v>0</v>
      </c>
      <c r="M57" s="38">
        <f t="shared" si="14"/>
        <v>0</v>
      </c>
      <c r="N57" s="38">
        <f t="shared" si="8"/>
        <v>0</v>
      </c>
    </row>
    <row r="58" spans="1:14" x14ac:dyDescent="0.25">
      <c r="A58" s="16">
        <f>'VMT, VHT, and User Costs'!A58</f>
        <v>0</v>
      </c>
      <c r="B58" s="31">
        <f>'VMT, VHT, and User Costs'!B58</f>
        <v>0</v>
      </c>
      <c r="C58" s="44">
        <f>'VMT, VHT, and User Costs'!G58</f>
        <v>0</v>
      </c>
      <c r="D58" s="17">
        <f t="shared" si="3"/>
        <v>0</v>
      </c>
      <c r="E58" s="45">
        <f t="shared" si="15"/>
        <v>0</v>
      </c>
      <c r="F58" s="37">
        <f t="shared" si="10"/>
        <v>0</v>
      </c>
      <c r="G58" s="37">
        <f t="shared" si="10"/>
        <v>0</v>
      </c>
      <c r="H58" s="37">
        <f t="shared" si="10"/>
        <v>0</v>
      </c>
      <c r="I58" s="37">
        <f t="shared" si="10"/>
        <v>0</v>
      </c>
      <c r="J58" s="42">
        <f t="shared" si="11"/>
        <v>0</v>
      </c>
      <c r="K58" s="9">
        <f t="shared" si="12"/>
        <v>0</v>
      </c>
      <c r="L58" s="9">
        <f t="shared" si="13"/>
        <v>0</v>
      </c>
      <c r="M58" s="38">
        <f t="shared" si="14"/>
        <v>0</v>
      </c>
      <c r="N58" s="38">
        <f t="shared" si="8"/>
        <v>0</v>
      </c>
    </row>
    <row r="59" spans="1:14" x14ac:dyDescent="0.25">
      <c r="A59" s="16">
        <f>'VMT, VHT, and User Costs'!A59</f>
        <v>0</v>
      </c>
      <c r="B59" s="31">
        <f>'VMT, VHT, and User Costs'!B59</f>
        <v>0</v>
      </c>
      <c r="C59" s="44">
        <f>'VMT, VHT, and User Costs'!G59</f>
        <v>0</v>
      </c>
      <c r="D59" s="17">
        <f t="shared" si="3"/>
        <v>0</v>
      </c>
      <c r="E59" s="45">
        <f t="shared" si="15"/>
        <v>0</v>
      </c>
      <c r="F59" s="37">
        <f t="shared" si="10"/>
        <v>0</v>
      </c>
      <c r="G59" s="37">
        <f t="shared" si="10"/>
        <v>0</v>
      </c>
      <c r="H59" s="37">
        <f t="shared" si="10"/>
        <v>0</v>
      </c>
      <c r="I59" s="37">
        <f t="shared" si="10"/>
        <v>0</v>
      </c>
      <c r="J59" s="42">
        <f t="shared" si="11"/>
        <v>0</v>
      </c>
      <c r="K59" s="9">
        <f t="shared" si="12"/>
        <v>0</v>
      </c>
      <c r="L59" s="9">
        <f t="shared" si="13"/>
        <v>0</v>
      </c>
      <c r="M59" s="38">
        <f t="shared" si="14"/>
        <v>0</v>
      </c>
      <c r="N59" s="38">
        <f t="shared" si="8"/>
        <v>0</v>
      </c>
    </row>
    <row r="60" spans="1:14" x14ac:dyDescent="0.25">
      <c r="A60" s="16">
        <f>'VMT, VHT, and User Costs'!A60</f>
        <v>0</v>
      </c>
      <c r="B60" s="31">
        <f>'VMT, VHT, and User Costs'!B60</f>
        <v>0</v>
      </c>
      <c r="C60" s="44">
        <f>'VMT, VHT, and User Costs'!G60</f>
        <v>0</v>
      </c>
      <c r="D60" s="17">
        <f t="shared" si="3"/>
        <v>0</v>
      </c>
      <c r="E60" s="45">
        <f t="shared" si="15"/>
        <v>0</v>
      </c>
      <c r="F60" s="37">
        <f t="shared" si="10"/>
        <v>0</v>
      </c>
      <c r="G60" s="37">
        <f t="shared" si="10"/>
        <v>0</v>
      </c>
      <c r="H60" s="37">
        <f t="shared" si="10"/>
        <v>0</v>
      </c>
      <c r="I60" s="37">
        <f t="shared" si="10"/>
        <v>0</v>
      </c>
      <c r="J60" s="42">
        <f t="shared" si="11"/>
        <v>0</v>
      </c>
      <c r="K60" s="9">
        <f t="shared" si="12"/>
        <v>0</v>
      </c>
      <c r="L60" s="9">
        <f t="shared" si="13"/>
        <v>0</v>
      </c>
      <c r="M60" s="38">
        <f t="shared" si="14"/>
        <v>0</v>
      </c>
      <c r="N60" s="38">
        <f t="shared" si="8"/>
        <v>0</v>
      </c>
    </row>
    <row r="61" spans="1:14" x14ac:dyDescent="0.25">
      <c r="A61" s="16">
        <f>'VMT, VHT, and User Costs'!A61</f>
        <v>0</v>
      </c>
      <c r="B61" s="31">
        <f>'VMT, VHT, and User Costs'!B61</f>
        <v>0</v>
      </c>
      <c r="C61" s="44">
        <f>'VMT, VHT, and User Costs'!G61</f>
        <v>0</v>
      </c>
      <c r="D61" s="17">
        <f t="shared" si="3"/>
        <v>0</v>
      </c>
      <c r="E61" s="45">
        <f t="shared" si="15"/>
        <v>0</v>
      </c>
      <c r="F61" s="37">
        <f t="shared" si="10"/>
        <v>0</v>
      </c>
      <c r="G61" s="37">
        <f t="shared" si="10"/>
        <v>0</v>
      </c>
      <c r="H61" s="37">
        <f t="shared" si="10"/>
        <v>0</v>
      </c>
      <c r="I61" s="37">
        <f t="shared" si="10"/>
        <v>0</v>
      </c>
      <c r="J61" s="42">
        <f t="shared" si="11"/>
        <v>0</v>
      </c>
      <c r="K61" s="9">
        <f t="shared" si="12"/>
        <v>0</v>
      </c>
      <c r="L61" s="9">
        <f t="shared" si="13"/>
        <v>0</v>
      </c>
      <c r="M61" s="38">
        <f t="shared" si="14"/>
        <v>0</v>
      </c>
      <c r="N61" s="38">
        <f t="shared" si="8"/>
        <v>0</v>
      </c>
    </row>
    <row r="62" spans="1:14" x14ac:dyDescent="0.25">
      <c r="A62" s="20">
        <f>'VMT, VHT, and User Costs'!A62</f>
        <v>0</v>
      </c>
      <c r="B62" s="32">
        <f>'VMT, VHT, and User Costs'!B62</f>
        <v>0</v>
      </c>
      <c r="C62" s="46">
        <f>'VMT, VHT, and User Costs'!G62</f>
        <v>0</v>
      </c>
      <c r="D62" s="22">
        <f t="shared" si="3"/>
        <v>0</v>
      </c>
      <c r="E62" s="47">
        <f t="shared" si="15"/>
        <v>0</v>
      </c>
      <c r="F62" s="39">
        <f t="shared" si="10"/>
        <v>0</v>
      </c>
      <c r="G62" s="39">
        <f t="shared" si="10"/>
        <v>0</v>
      </c>
      <c r="H62" s="39">
        <f t="shared" si="10"/>
        <v>0</v>
      </c>
      <c r="I62" s="39">
        <f t="shared" si="10"/>
        <v>0</v>
      </c>
      <c r="J62" s="43">
        <f t="shared" si="11"/>
        <v>0</v>
      </c>
      <c r="K62" s="40">
        <f t="shared" si="12"/>
        <v>0</v>
      </c>
      <c r="L62" s="40">
        <f t="shared" si="13"/>
        <v>0</v>
      </c>
      <c r="M62" s="41">
        <f t="shared" si="14"/>
        <v>0</v>
      </c>
      <c r="N62" s="41">
        <f t="shared" si="8"/>
        <v>0</v>
      </c>
    </row>
  </sheetData>
  <phoneticPr fontId="0" type="noConversion"/>
  <pageMargins left="0.75" right="0.75" top="1" bottom="1" header="0.5" footer="0.5"/>
  <pageSetup orientation="portrait" r:id="rId1"/>
  <headerFooter alignWithMargins="0">
    <oddFooter>&amp;L&amp;F&amp;C&amp;A&amp;R&amp;D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Benefit Cost Ratio Summary</vt:lpstr>
      <vt:lpstr>Initial Project Cost</vt:lpstr>
      <vt:lpstr>Maintenance Costs</vt:lpstr>
      <vt:lpstr>VMT, VHT, and User Costs</vt:lpstr>
      <vt:lpstr>User Cost, Time &amp; Crash Savings</vt:lpstr>
      <vt:lpstr>Unit Cost Sources</vt:lpstr>
      <vt:lpstr>Crashes</vt:lpstr>
      <vt:lpstr>VMT</vt:lpstr>
      <vt:lpstr>Emissions</vt:lpstr>
      <vt:lpstr>Emission Rates</vt:lpstr>
      <vt:lpstr>Emissions Savings</vt:lpstr>
      <vt:lpstr>No Western Ave Bridge</vt:lpstr>
      <vt:lpstr>Residual Value</vt:lpstr>
      <vt:lpstr>Total Benefits</vt:lpstr>
      <vt:lpstr>'User Cost, Time &amp; Crash Savings'!Print_Area</vt:lpstr>
    </vt:vector>
  </TitlesOfParts>
  <Company>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CSXGA</cp:lastModifiedBy>
  <cp:lastPrinted>2022-09-03T18:26:40Z</cp:lastPrinted>
  <dcterms:created xsi:type="dcterms:W3CDTF">2000-12-20T14:54:37Z</dcterms:created>
  <dcterms:modified xsi:type="dcterms:W3CDTF">2022-09-04T16:42:13Z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